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OP-COVID19\"/>
    </mc:Choice>
  </mc:AlternateContent>
  <xr:revisionPtr revIDLastSave="0" documentId="13_ncr:1_{72B2CE42-E1F4-46CC-9A53-5D0C8F2686A2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Input'!$A$1:$I$81</definedName>
    <definedName name="_xlnm.Print_Area" localSheetId="2">'Financial Input'!$A$1:$N$64</definedName>
    <definedName name="_xlnm.Print_Area" localSheetId="0">Summary!$B$1:$CK$36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32" i="4" l="1"/>
  <c r="CJ32" i="4"/>
  <c r="CK31" i="4"/>
  <c r="CJ31" i="4"/>
  <c r="CK30" i="4"/>
  <c r="CJ30" i="4"/>
  <c r="CJ33" i="4"/>
  <c r="CK33" i="4"/>
  <c r="C176" i="4"/>
  <c r="D176" i="4"/>
  <c r="B176" i="4"/>
  <c r="D144" i="4"/>
  <c r="C144" i="4"/>
  <c r="B144" i="4"/>
  <c r="C112" i="4"/>
  <c r="B112" i="4"/>
  <c r="D112" i="4" s="1"/>
  <c r="C80" i="4"/>
  <c r="B80" i="4"/>
  <c r="CJ34" i="4" l="1"/>
  <c r="D80" i="4"/>
  <c r="K11" i="5" l="1"/>
  <c r="M23" i="5"/>
  <c r="K15" i="5"/>
  <c r="M15" i="5" s="1"/>
  <c r="H80" i="3"/>
  <c r="H45" i="3"/>
  <c r="G45" i="3"/>
  <c r="F45" i="3"/>
  <c r="D45" i="3"/>
  <c r="C45" i="3"/>
  <c r="B45" i="3"/>
  <c r="C175" i="4"/>
  <c r="CG32" i="4" s="1"/>
  <c r="B79" i="4"/>
  <c r="D79" i="4" s="1"/>
  <c r="C79" i="4"/>
  <c r="H44" i="3"/>
  <c r="B175" i="4" s="1"/>
  <c r="G44" i="3"/>
  <c r="B143" i="4" s="1"/>
  <c r="F44" i="3"/>
  <c r="B111" i="4" s="1"/>
  <c r="C44" i="3"/>
  <c r="C143" i="4" s="1"/>
  <c r="CG31" i="4" s="1"/>
  <c r="B44" i="3"/>
  <c r="C111" i="4" s="1"/>
  <c r="CG30" i="4" s="1"/>
  <c r="H79" i="3"/>
  <c r="C174" i="4"/>
  <c r="CD32" i="4" s="1"/>
  <c r="B78" i="4"/>
  <c r="C78" i="4"/>
  <c r="D111" i="4" l="1"/>
  <c r="CH30" i="4"/>
  <c r="CH31" i="4"/>
  <c r="D143" i="4"/>
  <c r="D175" i="4"/>
  <c r="D78" i="4"/>
  <c r="CH32" i="4"/>
  <c r="CG33" i="4"/>
  <c r="H78" i="3"/>
  <c r="H43" i="3"/>
  <c r="B174" i="4" s="1"/>
  <c r="G43" i="3"/>
  <c r="B142" i="4" s="1"/>
  <c r="F43" i="3"/>
  <c r="B110" i="4" s="1"/>
  <c r="C43" i="3"/>
  <c r="C142" i="4" s="1"/>
  <c r="CD31" i="4" s="1"/>
  <c r="B43" i="3"/>
  <c r="C110" i="4" s="1"/>
  <c r="CD30" i="4" s="1"/>
  <c r="B77" i="4"/>
  <c r="C77" i="4"/>
  <c r="CD33" i="4" l="1"/>
  <c r="CH33" i="4"/>
  <c r="CG34" i="4" s="1"/>
  <c r="D174" i="4"/>
  <c r="CE32" i="4"/>
  <c r="CE30" i="4"/>
  <c r="D110" i="4"/>
  <c r="CE31" i="4"/>
  <c r="D142" i="4"/>
  <c r="D77" i="4"/>
  <c r="CE33" i="4" l="1"/>
  <c r="CD34" i="4" s="1"/>
  <c r="H42" i="3"/>
  <c r="B173" i="4" s="1"/>
  <c r="G42" i="3"/>
  <c r="B141" i="4" s="1"/>
  <c r="F42" i="3"/>
  <c r="B109" i="4" s="1"/>
  <c r="D42" i="3"/>
  <c r="C173" i="4" s="1"/>
  <c r="CA32" i="4" s="1"/>
  <c r="C42" i="3"/>
  <c r="C141" i="4" s="1"/>
  <c r="CA31" i="4" s="1"/>
  <c r="B42" i="3"/>
  <c r="C109" i="4" s="1"/>
  <c r="CA30" i="4" s="1"/>
  <c r="CA33" i="4" l="1"/>
  <c r="D141" i="4"/>
  <c r="CB31" i="4"/>
  <c r="CB30" i="4"/>
  <c r="D109" i="4"/>
  <c r="D173" i="4"/>
  <c r="CB32" i="4"/>
  <c r="H77" i="3"/>
  <c r="C172" i="4"/>
  <c r="BX32" i="4" s="1"/>
  <c r="C76" i="4"/>
  <c r="B76" i="4"/>
  <c r="H76" i="3"/>
  <c r="D76" i="4" l="1"/>
  <c r="CB33" i="4"/>
  <c r="CA34" i="4" s="1"/>
  <c r="H40" i="3"/>
  <c r="G41" i="3"/>
  <c r="B140" i="4" s="1"/>
  <c r="F41" i="3"/>
  <c r="B108" i="4" s="1"/>
  <c r="H41" i="3"/>
  <c r="B172" i="4" s="1"/>
  <c r="C41" i="3"/>
  <c r="C140" i="4" s="1"/>
  <c r="BX31" i="4" s="1"/>
  <c r="B41" i="3"/>
  <c r="C108" i="4" s="1"/>
  <c r="BX30" i="4" s="1"/>
  <c r="BX33" i="4" l="1"/>
  <c r="BY32" i="4"/>
  <c r="D172" i="4"/>
  <c r="D108" i="4"/>
  <c r="BY30" i="4"/>
  <c r="D140" i="4"/>
  <c r="BY31" i="4"/>
  <c r="C171" i="4"/>
  <c r="BU32" i="4" s="1"/>
  <c r="B75" i="4"/>
  <c r="C75" i="4"/>
  <c r="B171" i="4"/>
  <c r="G40" i="3"/>
  <c r="B139" i="4" s="1"/>
  <c r="F40" i="3"/>
  <c r="B107" i="4" s="1"/>
  <c r="BV30" i="4" s="1"/>
  <c r="H75" i="3"/>
  <c r="C40" i="3"/>
  <c r="C139" i="4" s="1"/>
  <c r="BU31" i="4" s="1"/>
  <c r="B40" i="3"/>
  <c r="C107" i="4" s="1"/>
  <c r="B74" i="4"/>
  <c r="C74" i="4"/>
  <c r="H74" i="3"/>
  <c r="H39" i="3"/>
  <c r="B170" i="4" s="1"/>
  <c r="BS32" i="4" s="1"/>
  <c r="G39" i="3"/>
  <c r="B138" i="4" s="1"/>
  <c r="BS31" i="4" s="1"/>
  <c r="F39" i="3"/>
  <c r="B106" i="4" s="1"/>
  <c r="BS30" i="4" s="1"/>
  <c r="D39" i="3"/>
  <c r="C170" i="4" s="1"/>
  <c r="BR32" i="4" s="1"/>
  <c r="C39" i="3"/>
  <c r="C138" i="4" s="1"/>
  <c r="BR31" i="4" s="1"/>
  <c r="B39" i="3"/>
  <c r="C106" i="4" s="1"/>
  <c r="BR30" i="4" s="1"/>
  <c r="C169" i="4"/>
  <c r="BO32" i="4" s="1"/>
  <c r="B72" i="4"/>
  <c r="C72" i="4"/>
  <c r="B73" i="4"/>
  <c r="C73" i="4"/>
  <c r="D75" i="4" l="1"/>
  <c r="BY33" i="4"/>
  <c r="BX34" i="4" s="1"/>
  <c r="D107" i="4"/>
  <c r="BU30" i="4"/>
  <c r="BU33" i="4" s="1"/>
  <c r="BV31" i="4"/>
  <c r="D139" i="4"/>
  <c r="D171" i="4"/>
  <c r="BV32" i="4"/>
  <c r="BS33" i="4"/>
  <c r="D74" i="4"/>
  <c r="D72" i="4"/>
  <c r="BR33" i="4"/>
  <c r="D73" i="4"/>
  <c r="D106" i="4"/>
  <c r="D138" i="4"/>
  <c r="D170" i="4"/>
  <c r="BV33" i="4" l="1"/>
  <c r="BU34" i="4" s="1"/>
  <c r="BR34" i="4"/>
  <c r="H38" i="3"/>
  <c r="B169" i="4" s="1"/>
  <c r="G38" i="3"/>
  <c r="B137" i="4" s="1"/>
  <c r="F38" i="3"/>
  <c r="B105" i="4" s="1"/>
  <c r="H73" i="3"/>
  <c r="C38" i="3"/>
  <c r="C137" i="4" s="1"/>
  <c r="BO31" i="4" s="1"/>
  <c r="B38" i="3"/>
  <c r="C105" i="4" s="1"/>
  <c r="BO30" i="4" s="1"/>
  <c r="C168" i="4"/>
  <c r="BL32" i="4" s="1"/>
  <c r="H37" i="3"/>
  <c r="B168" i="4" s="1"/>
  <c r="G37" i="3"/>
  <c r="B136" i="4" s="1"/>
  <c r="F37" i="3"/>
  <c r="B104" i="4" s="1"/>
  <c r="BM30" i="4" s="1"/>
  <c r="H72" i="3"/>
  <c r="C37" i="3"/>
  <c r="C136" i="4" s="1"/>
  <c r="BL31" i="4" s="1"/>
  <c r="B37" i="3"/>
  <c r="C104" i="4" s="1"/>
  <c r="B71" i="4"/>
  <c r="C71" i="4"/>
  <c r="H35" i="3"/>
  <c r="B166" i="4" s="1"/>
  <c r="H36" i="3"/>
  <c r="B167" i="4" s="1"/>
  <c r="G36" i="3"/>
  <c r="B135" i="4" s="1"/>
  <c r="F36" i="3"/>
  <c r="B103" i="4" s="1"/>
  <c r="D36" i="3"/>
  <c r="C167" i="4" s="1"/>
  <c r="BI32" i="4" s="1"/>
  <c r="C36" i="3"/>
  <c r="C135" i="4" s="1"/>
  <c r="BI31" i="4" s="1"/>
  <c r="B36" i="3"/>
  <c r="C103" i="4" s="1"/>
  <c r="BI30" i="4" s="1"/>
  <c r="H71" i="3"/>
  <c r="B70" i="4"/>
  <c r="C70" i="4"/>
  <c r="C166" i="4"/>
  <c r="BF32" i="4" s="1"/>
  <c r="BO33" i="4" l="1"/>
  <c r="D105" i="4"/>
  <c r="BP30" i="4"/>
  <c r="D137" i="4"/>
  <c r="BP31" i="4"/>
  <c r="BP32" i="4"/>
  <c r="D169" i="4"/>
  <c r="BL30" i="4"/>
  <c r="BL33" i="4" s="1"/>
  <c r="D104" i="4"/>
  <c r="D136" i="4"/>
  <c r="BM31" i="4"/>
  <c r="D168" i="4"/>
  <c r="BM32" i="4"/>
  <c r="D71" i="4"/>
  <c r="D167" i="4"/>
  <c r="BJ32" i="4"/>
  <c r="D103" i="4"/>
  <c r="D135" i="4"/>
  <c r="BJ30" i="4"/>
  <c r="BJ31" i="4"/>
  <c r="D166" i="4"/>
  <c r="BI33" i="4"/>
  <c r="D70" i="4"/>
  <c r="BG32" i="4"/>
  <c r="BP33" i="4" l="1"/>
  <c r="BO34" i="4" s="1"/>
  <c r="BM33" i="4"/>
  <c r="BL34" i="4" s="1"/>
  <c r="BJ33" i="4"/>
  <c r="BI34" i="4" s="1"/>
  <c r="F35" i="3"/>
  <c r="B102" i="4" s="1"/>
  <c r="G35" i="3"/>
  <c r="B134" i="4" s="1"/>
  <c r="H70" i="3"/>
  <c r="C35" i="3"/>
  <c r="C134" i="4" s="1"/>
  <c r="BF31" i="4" s="1"/>
  <c r="B35" i="3"/>
  <c r="C102" i="4" s="1"/>
  <c r="BF30" i="4" s="1"/>
  <c r="B165" i="4"/>
  <c r="C165" i="4"/>
  <c r="BC32" i="4" s="1"/>
  <c r="B69" i="4"/>
  <c r="C69" i="4"/>
  <c r="BF33" i="4" l="1"/>
  <c r="D69" i="4"/>
  <c r="D134" i="4"/>
  <c r="BG31" i="4"/>
  <c r="D102" i="4"/>
  <c r="BG30" i="4"/>
  <c r="D165" i="4"/>
  <c r="BD32" i="4"/>
  <c r="BG33" i="4" l="1"/>
  <c r="BF34" i="4" s="1"/>
  <c r="G34" i="3"/>
  <c r="B133" i="4" s="1"/>
  <c r="F34" i="3"/>
  <c r="B101" i="4" s="1"/>
  <c r="C34" i="3"/>
  <c r="C133" i="4" s="1"/>
  <c r="BC31" i="4" s="1"/>
  <c r="B34" i="3"/>
  <c r="C101" i="4" s="1"/>
  <c r="BC30" i="4" s="1"/>
  <c r="BC33" i="4" l="1"/>
  <c r="D101" i="4"/>
  <c r="BD30" i="4"/>
  <c r="D133" i="4"/>
  <c r="BD31" i="4"/>
  <c r="H33" i="3"/>
  <c r="G33" i="3"/>
  <c r="F33" i="3"/>
  <c r="D33" i="3"/>
  <c r="C33" i="3"/>
  <c r="B33" i="3"/>
  <c r="H67" i="3"/>
  <c r="BD33" i="4" l="1"/>
  <c r="BC34" i="4" s="1"/>
  <c r="F31" i="3"/>
  <c r="B98" i="4" s="1"/>
  <c r="AU30" i="4" s="1"/>
  <c r="G32" i="3"/>
  <c r="B131" i="4" s="1"/>
  <c r="AX31" i="4" s="1"/>
  <c r="F32" i="3"/>
  <c r="B99" i="4" s="1"/>
  <c r="AX30" i="4" s="1"/>
  <c r="C32" i="3"/>
  <c r="C131" i="4" s="1"/>
  <c r="AW31" i="4" s="1"/>
  <c r="B32" i="3"/>
  <c r="C99" i="4" s="1"/>
  <c r="AW30" i="4" s="1"/>
  <c r="B162" i="4"/>
  <c r="C162" i="4"/>
  <c r="AT32" i="4" s="1"/>
  <c r="B163" i="4"/>
  <c r="AX32" i="4" s="1"/>
  <c r="C163" i="4"/>
  <c r="B164" i="4"/>
  <c r="BA32" i="4" s="1"/>
  <c r="C164" i="4"/>
  <c r="AZ32" i="4" s="1"/>
  <c r="B132" i="4"/>
  <c r="BA31" i="4" s="1"/>
  <c r="C132" i="4"/>
  <c r="AZ31" i="4" s="1"/>
  <c r="C100" i="4"/>
  <c r="AZ30" i="4" s="1"/>
  <c r="B100" i="4"/>
  <c r="BA30" i="4" s="1"/>
  <c r="G31" i="3"/>
  <c r="B130" i="4" s="1"/>
  <c r="C31" i="3"/>
  <c r="C130" i="4" s="1"/>
  <c r="AT31" i="4" s="1"/>
  <c r="B31" i="3"/>
  <c r="C98" i="4" s="1"/>
  <c r="AT30" i="4" s="1"/>
  <c r="C68" i="4"/>
  <c r="C66" i="4"/>
  <c r="C67" i="4"/>
  <c r="B66" i="4"/>
  <c r="B67" i="4"/>
  <c r="B68" i="4"/>
  <c r="H68" i="3"/>
  <c r="H69" i="3"/>
  <c r="H66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52" i="3"/>
  <c r="H30" i="3"/>
  <c r="B161" i="4" s="1"/>
  <c r="AR32" i="4" s="1"/>
  <c r="D30" i="3"/>
  <c r="C161" i="4" s="1"/>
  <c r="AQ32" i="4" s="1"/>
  <c r="C30" i="3"/>
  <c r="C129" i="4" s="1"/>
  <c r="AQ31" i="4" s="1"/>
  <c r="G18" i="3"/>
  <c r="G30" i="3"/>
  <c r="B129" i="4" s="1"/>
  <c r="AR31" i="4" s="1"/>
  <c r="F30" i="3"/>
  <c r="B97" i="4" s="1"/>
  <c r="AR30" i="4" s="1"/>
  <c r="B30" i="3"/>
  <c r="C97" i="4" s="1"/>
  <c r="AQ30" i="4" s="1"/>
  <c r="B160" i="4"/>
  <c r="C160" i="4"/>
  <c r="B65" i="4"/>
  <c r="C65" i="4"/>
  <c r="AZ33" i="4" l="1"/>
  <c r="BA33" i="4"/>
  <c r="AX33" i="4"/>
  <c r="D163" i="4"/>
  <c r="AW32" i="4"/>
  <c r="AW33" i="4" s="1"/>
  <c r="D100" i="4"/>
  <c r="D132" i="4"/>
  <c r="D164" i="4"/>
  <c r="D67" i="4"/>
  <c r="D99" i="4"/>
  <c r="D131" i="4"/>
  <c r="D68" i="4"/>
  <c r="D130" i="4"/>
  <c r="D162" i="4"/>
  <c r="D66" i="4"/>
  <c r="D98" i="4"/>
  <c r="AU32" i="4"/>
  <c r="AU31" i="4"/>
  <c r="AT33" i="4"/>
  <c r="D65" i="4"/>
  <c r="AQ33" i="4"/>
  <c r="D161" i="4"/>
  <c r="D160" i="4"/>
  <c r="D129" i="4"/>
  <c r="D97" i="4"/>
  <c r="AO32" i="4"/>
  <c r="AN32" i="4"/>
  <c r="AW34" i="4" l="1"/>
  <c r="AZ34" i="4"/>
  <c r="AU33" i="4"/>
  <c r="AT34" i="4" s="1"/>
  <c r="G29" i="3"/>
  <c r="F29" i="3"/>
  <c r="C29" i="3"/>
  <c r="B29" i="3"/>
  <c r="B159" i="4" l="1"/>
  <c r="C159" i="4"/>
  <c r="AK32" i="4" s="1"/>
  <c r="B128" i="4"/>
  <c r="AO31" i="4" s="1"/>
  <c r="C128" i="4"/>
  <c r="AN31" i="4" s="1"/>
  <c r="B96" i="4"/>
  <c r="AO30" i="4" s="1"/>
  <c r="C96" i="4"/>
  <c r="AN30" i="4" s="1"/>
  <c r="B63" i="4"/>
  <c r="C63" i="4"/>
  <c r="B64" i="4"/>
  <c r="C64" i="4"/>
  <c r="C62" i="4"/>
  <c r="B62" i="4"/>
  <c r="C28" i="3"/>
  <c r="C127" i="4" s="1"/>
  <c r="AK31" i="4" s="1"/>
  <c r="B28" i="3"/>
  <c r="C95" i="4" s="1"/>
  <c r="AK30" i="4" s="1"/>
  <c r="G28" i="3"/>
  <c r="B127" i="4" s="1"/>
  <c r="AL31" i="4" s="1"/>
  <c r="F28" i="3"/>
  <c r="B95" i="4" s="1"/>
  <c r="AL30" i="4" s="1"/>
  <c r="H27" i="3"/>
  <c r="B158" i="4" s="1"/>
  <c r="AI32" i="4" s="1"/>
  <c r="G27" i="3"/>
  <c r="B126" i="4" s="1"/>
  <c r="F27" i="3"/>
  <c r="B94" i="4" s="1"/>
  <c r="D27" i="3"/>
  <c r="C158" i="4" s="1"/>
  <c r="C27" i="3"/>
  <c r="C126" i="4" s="1"/>
  <c r="B27" i="3"/>
  <c r="C94" i="4" s="1"/>
  <c r="AN33" i="4" l="1"/>
  <c r="D159" i="4"/>
  <c r="AO33" i="4"/>
  <c r="D127" i="4"/>
  <c r="AK33" i="4"/>
  <c r="AL32" i="4"/>
  <c r="AL33" i="4" s="1"/>
  <c r="D96" i="4"/>
  <c r="AR33" i="4" s="1"/>
  <c r="AQ34" i="4" s="1"/>
  <c r="D128" i="4"/>
  <c r="D64" i="4"/>
  <c r="D95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56" i="4" l="1"/>
  <c r="C156" i="4"/>
  <c r="B157" i="4"/>
  <c r="C157" i="4"/>
  <c r="B124" i="4"/>
  <c r="C124" i="4"/>
  <c r="B125" i="4"/>
  <c r="C125" i="4"/>
  <c r="B92" i="4"/>
  <c r="C92" i="4"/>
  <c r="B93" i="4"/>
  <c r="C93" i="4"/>
  <c r="B60" i="4"/>
  <c r="C60" i="4"/>
  <c r="B61" i="4"/>
  <c r="C61" i="4"/>
  <c r="D157" i="4" l="1"/>
  <c r="D61" i="4"/>
  <c r="D156" i="4"/>
  <c r="D93" i="4"/>
  <c r="D92" i="4"/>
  <c r="D158" i="4"/>
  <c r="D60" i="4"/>
  <c r="D94" i="4"/>
  <c r="D126" i="4"/>
  <c r="D125" i="4"/>
  <c r="D124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50" i="4"/>
  <c r="C151" i="4"/>
  <c r="C153" i="4"/>
  <c r="C154" i="4"/>
  <c r="B150" i="4"/>
  <c r="B151" i="4"/>
  <c r="B153" i="4"/>
  <c r="B154" i="4"/>
  <c r="C58" i="4"/>
  <c r="C59" i="4"/>
  <c r="B58" i="4"/>
  <c r="B59" i="4"/>
  <c r="D150" i="4" l="1"/>
  <c r="AH34" i="4"/>
  <c r="D59" i="4"/>
  <c r="D153" i="4"/>
  <c r="AE34" i="4"/>
  <c r="AB34" i="4"/>
  <c r="D154" i="4"/>
  <c r="D151" i="4"/>
  <c r="D58" i="4"/>
  <c r="D24" i="3"/>
  <c r="C155" i="4" s="1"/>
  <c r="Y32" i="4" s="1"/>
  <c r="H24" i="3"/>
  <c r="B155" i="4" s="1"/>
  <c r="Z32" i="4" s="1"/>
  <c r="C24" i="3"/>
  <c r="C123" i="4" s="1"/>
  <c r="Y31" i="4" s="1"/>
  <c r="B24" i="3"/>
  <c r="C91" i="4" s="1"/>
  <c r="Y30" i="4" s="1"/>
  <c r="G24" i="3"/>
  <c r="B123" i="4" s="1"/>
  <c r="F24" i="3"/>
  <c r="B91" i="4" s="1"/>
  <c r="D91" i="4" l="1"/>
  <c r="Z30" i="4"/>
  <c r="D123" i="4"/>
  <c r="Z31" i="4"/>
  <c r="Y33" i="4"/>
  <c r="D155" i="4"/>
  <c r="G23" i="3"/>
  <c r="B122" i="4" s="1"/>
  <c r="F23" i="3"/>
  <c r="B90" i="4" s="1"/>
  <c r="C23" i="3"/>
  <c r="C122" i="4" s="1"/>
  <c r="B23" i="3"/>
  <c r="C90" i="4" s="1"/>
  <c r="Z33" i="4" l="1"/>
  <c r="Y34" i="4" s="1"/>
  <c r="D122" i="4"/>
  <c r="M11" i="5"/>
  <c r="M19" i="5"/>
  <c r="G22" i="3" l="1"/>
  <c r="F22" i="3"/>
  <c r="H21" i="3" l="1"/>
  <c r="B152" i="4" s="1"/>
  <c r="G21" i="3"/>
  <c r="F21" i="3"/>
  <c r="F20" i="3" l="1"/>
  <c r="G20" i="3"/>
  <c r="C18" i="3" l="1"/>
  <c r="D18" i="3"/>
  <c r="C149" i="4" s="1"/>
  <c r="C21" i="3"/>
  <c r="D21" i="3"/>
  <c r="C152" i="4" s="1"/>
  <c r="D152" i="4" s="1"/>
  <c r="G19" i="3"/>
  <c r="H18" i="3"/>
  <c r="B149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9" i="3" l="1"/>
  <c r="B13" i="3"/>
  <c r="A50" i="4"/>
  <c r="C148" i="4"/>
  <c r="B148" i="4"/>
  <c r="B53" i="4"/>
  <c r="C53" i="4"/>
  <c r="B54" i="4"/>
  <c r="C54" i="4"/>
  <c r="B55" i="4"/>
  <c r="C55" i="4"/>
  <c r="B56" i="4"/>
  <c r="C56" i="4"/>
  <c r="B57" i="4"/>
  <c r="C57" i="4"/>
  <c r="C52" i="4"/>
  <c r="B52" i="4"/>
  <c r="B85" i="4"/>
  <c r="C85" i="4"/>
  <c r="B86" i="4"/>
  <c r="C86" i="4"/>
  <c r="B87" i="4"/>
  <c r="C87" i="4"/>
  <c r="B88" i="4"/>
  <c r="C88" i="4"/>
  <c r="B89" i="4"/>
  <c r="C89" i="4"/>
  <c r="C84" i="4"/>
  <c r="B84" i="4"/>
  <c r="C117" i="4"/>
  <c r="C118" i="4"/>
  <c r="C119" i="4"/>
  <c r="C120" i="4"/>
  <c r="C121" i="4"/>
  <c r="C116" i="4"/>
  <c r="B117" i="4"/>
  <c r="B118" i="4"/>
  <c r="B119" i="4"/>
  <c r="B120" i="4"/>
  <c r="B121" i="4"/>
  <c r="B116" i="4"/>
  <c r="A5" i="3"/>
  <c r="B33" i="4" l="1"/>
  <c r="A146" i="4" l="1"/>
  <c r="B32" i="4" s="1"/>
  <c r="A114" i="4"/>
  <c r="B31" i="4" s="1"/>
  <c r="A82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8" i="4"/>
  <c r="D116" i="4"/>
  <c r="D149" i="4"/>
  <c r="D148" i="4"/>
  <c r="D119" i="4"/>
  <c r="D84" i="4"/>
  <c r="D118" i="4"/>
  <c r="D121" i="4"/>
  <c r="D117" i="4"/>
  <c r="D120" i="4"/>
  <c r="D87" i="4"/>
  <c r="D90" i="4"/>
  <c r="D86" i="4"/>
  <c r="D89" i="4"/>
  <c r="D85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<sst xmlns="http://schemas.openxmlformats.org/spreadsheetml/2006/main" count="273" uniqueCount="112">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</sst>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  <xf numFmtId="9" fontId="8" fillId="4" borderId="4" xfId="2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Summary!$A$52:$A$80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Summary!$C$52:$C$80</c:f>
              <c:numCache>
                <c:formatCode>_(* #,##0.00_);_(* \(#,##0.00\);_(* "-"??_);_(@_)</c:formatCode>
                <c:ptCount val="29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Summary!$A$52:$A$80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Summary!$B$52:$B$80</c:f>
              <c:numCache>
                <c:formatCode>_(* #,##0.00_);_(* \(#,##0.00\);_(* "-"??_);_(@_)</c:formatCode>
                <c:ptCount val="29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Input'!$H$51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Summary!$A$52:$A$80</c15:sqref>
                        </c15:formulaRef>
                      </c:ext>
                    </c:extLst>
                    <c:strCache>
                      <c:ptCount val="29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Input'!$H$52:$H$79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Summary!$A$84:$A$112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Summary!$C$84:$C$112</c:f>
              <c:numCache>
                <c:formatCode>_(* #,##0_);_(* \(#,##0\);_(* "-"??_);_(@_)</c:formatCode>
                <c:ptCount val="29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Summary!$A$84:$A$112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Summary!$B$84:$B$112</c:f>
              <c:numCache>
                <c:formatCode>_(* #,##0_);_(* \(#,##0\);_(* "-"??_);_(@_)</c:formatCode>
                <c:ptCount val="29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Summary!$A$114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Summary!$A$116:$A$144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Summary!$C$116:$C$144</c:f>
              <c:numCache>
                <c:formatCode>_(* #,##0_);_(* \(#,##0\);_(* "-"??_);_(@_)</c:formatCode>
                <c:ptCount val="29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Summary!$A$116:$A$144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Summary!$B$116:$B$144</c:f>
              <c:numCache>
                <c:formatCode>_(* #,##0_);_(* \(#,##0\);_(* "-"??_);_(@_)</c:formatCode>
                <c:ptCount val="29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Summary!$A$146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Summary!$A$148:$A$176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Summary!$C$148:$C$176</c:f>
              <c:numCache>
                <c:formatCode>_(* #,##0_);_(* \(#,##0\);_(* "-"??_);_(@_)</c:formatCode>
                <c:ptCount val="29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Summary!$A$148:$A$176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</c:strCache>
            </c:strRef>
          </c:cat>
          <c:val>
            <c:numRef>
              <c:f>Summary!$B$148:$B$176</c:f>
              <c:numCache>
                <c:formatCode>_(* #,##0_);_(* \(#,##0\);_(* "-"??_);_(@_)</c:formatCode>
                <c:ptCount val="29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910376</xdr:colOff>
      <xdr:row>0</xdr:row>
      <xdr:rowOff>1358899</xdr:rowOff>
    </xdr:from>
    <xdr:to>
      <xdr:col>89</xdr:col>
      <xdr:colOff>12700</xdr:colOff>
      <xdr:row>16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25</xdr:col>
      <xdr:colOff>44449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24</xdr:col>
      <xdr:colOff>647699</xdr:colOff>
      <xdr:row>15</xdr:row>
      <xdr:rowOff>129440</xdr:rowOff>
    </xdr:from>
    <xdr:to>
      <xdr:col>57</xdr:col>
      <xdr:colOff>336550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57</xdr:col>
      <xdr:colOff>330200</xdr:colOff>
      <xdr:row>16</xdr:row>
      <xdr:rowOff>19797</xdr:rowOff>
    </xdr:from>
    <xdr:to>
      <xdr:col>88</xdr:col>
      <xdr:colOff>615950</xdr:colOff>
      <xdr:row>27</xdr:row>
      <xdr:rowOff>12699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K176"/>
  <sheetViews>
    <sheetView tabSelected="1" view="pageBreakPreview" topLeftCell="AV1" zoomScale="75" zoomScaleNormal="90" zoomScaleSheetLayoutView="75" workbookViewId="0">
      <selection activeCell="CJ33" sqref="CJ33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" customWidth="1"/>
    <col min="82" max="83" width="9.86328125" bestFit="1" customWidth="1"/>
    <col min="84" max="84" width="2.3984375" customWidth="1"/>
    <col min="87" max="87" width="2.3984375" customWidth="1"/>
  </cols>
  <sheetData>
    <row r="1" spans="1:68" ht="112.5" customHeight="1" x14ac:dyDescent="2.2000000000000002">
      <c r="A1" s="44"/>
      <c r="B1" s="70" t="s">
        <v>69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</row>
    <row r="2" spans="1:68" s="8" customFormat="1" ht="23.25" x14ac:dyDescent="0.45">
      <c r="A2" s="27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89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89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89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89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89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89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89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89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89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89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89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89" ht="15.4" customHeight="1" x14ac:dyDescent="0.45">
      <c r="A28" s="26"/>
      <c r="B28" s="76" t="s">
        <v>11</v>
      </c>
      <c r="C28" s="76"/>
      <c r="D28" s="66">
        <v>43881</v>
      </c>
      <c r="E28" s="66"/>
      <c r="F28" s="46"/>
      <c r="G28" s="66">
        <v>43910</v>
      </c>
      <c r="H28" s="66"/>
      <c r="I28" s="53"/>
      <c r="J28" s="66">
        <v>43941</v>
      </c>
      <c r="K28" s="66"/>
      <c r="L28" s="53"/>
      <c r="M28" s="66">
        <v>43971</v>
      </c>
      <c r="N28" s="66"/>
      <c r="O28" s="53"/>
      <c r="P28" s="66">
        <v>44002</v>
      </c>
      <c r="Q28" s="66"/>
      <c r="R28" s="53"/>
      <c r="S28" s="66">
        <v>44032</v>
      </c>
      <c r="T28" s="66"/>
      <c r="U28" s="53"/>
      <c r="V28" s="66">
        <v>44063</v>
      </c>
      <c r="W28" s="66"/>
      <c r="X28" s="54"/>
      <c r="Y28" s="66">
        <v>44094</v>
      </c>
      <c r="Z28" s="66"/>
      <c r="AA28" s="54"/>
      <c r="AB28" s="66">
        <v>44124</v>
      </c>
      <c r="AC28" s="66"/>
      <c r="AD28" s="54"/>
      <c r="AE28" s="66">
        <v>44155</v>
      </c>
      <c r="AF28" s="66"/>
      <c r="AG28" s="54"/>
      <c r="AH28" s="66">
        <v>44185</v>
      </c>
      <c r="AI28" s="66"/>
      <c r="AJ28" s="54"/>
      <c r="AK28" s="66">
        <v>44216</v>
      </c>
      <c r="AL28" s="66"/>
      <c r="AM28" s="55"/>
      <c r="AN28" s="66">
        <v>44248</v>
      </c>
      <c r="AO28" s="66"/>
      <c r="AP28" s="55"/>
      <c r="AQ28" s="66">
        <v>44276</v>
      </c>
      <c r="AR28" s="66"/>
      <c r="AS28" s="55"/>
      <c r="AT28" s="66">
        <v>44307</v>
      </c>
      <c r="AU28" s="66"/>
      <c r="AV28" s="10"/>
      <c r="AW28" s="66" t="s">
        <v>50</v>
      </c>
      <c r="AX28" s="66"/>
      <c r="AY28" s="10"/>
      <c r="AZ28" s="66" t="s">
        <v>51</v>
      </c>
      <c r="BA28" s="66"/>
      <c r="BB28" s="10"/>
      <c r="BC28" s="66" t="s">
        <v>53</v>
      </c>
      <c r="BD28" s="66"/>
      <c r="BE28" s="10"/>
      <c r="BF28" s="66" t="s">
        <v>55</v>
      </c>
      <c r="BG28" s="66"/>
      <c r="BH28" s="56"/>
      <c r="BI28" s="66" t="s">
        <v>56</v>
      </c>
      <c r="BJ28" s="66"/>
      <c r="BK28" s="56"/>
      <c r="BL28" s="66" t="s">
        <v>59</v>
      </c>
      <c r="BM28" s="66"/>
      <c r="BN28" s="56"/>
      <c r="BO28" s="66" t="s">
        <v>63</v>
      </c>
      <c r="BP28" s="66"/>
      <c r="BQ28" s="56"/>
      <c r="BR28" s="66" t="s">
        <v>64</v>
      </c>
      <c r="BS28" s="66"/>
      <c r="BT28" s="56"/>
      <c r="BU28" s="66" t="s">
        <v>71</v>
      </c>
      <c r="BV28" s="66"/>
      <c r="BW28" s="56"/>
      <c r="BX28" s="66" t="s">
        <v>75</v>
      </c>
      <c r="BY28" s="66"/>
      <c r="BZ28" s="56"/>
      <c r="CA28" s="66" t="s">
        <v>77</v>
      </c>
      <c r="CB28" s="66"/>
      <c r="CC28" s="56"/>
      <c r="CD28" s="66" t="s">
        <v>79</v>
      </c>
      <c r="CE28" s="66"/>
      <c r="CF28" s="56"/>
      <c r="CG28" s="66" t="s">
        <v>50</v>
      </c>
      <c r="CH28" s="66"/>
      <c r="CI28" s="56"/>
      <c r="CJ28" s="66" t="s">
        <v>51</v>
      </c>
      <c r="CK28" s="66"/>
    </row>
    <row r="29" spans="1:89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70</v>
      </c>
      <c r="BW29" s="56"/>
      <c r="BX29" s="52" t="s">
        <v>47</v>
      </c>
      <c r="BY29" s="52" t="s">
        <v>70</v>
      </c>
      <c r="BZ29" s="56"/>
      <c r="CA29" s="52" t="s">
        <v>47</v>
      </c>
      <c r="CB29" s="52" t="s">
        <v>70</v>
      </c>
      <c r="CC29" s="56"/>
      <c r="CD29" s="52" t="s">
        <v>47</v>
      </c>
      <c r="CE29" s="52" t="s">
        <v>70</v>
      </c>
      <c r="CF29" s="56"/>
      <c r="CG29" s="52" t="s">
        <v>47</v>
      </c>
      <c r="CH29" s="52" t="s">
        <v>70</v>
      </c>
      <c r="CI29" s="56"/>
      <c r="CJ29" s="52" t="s">
        <v>47</v>
      </c>
      <c r="CK29" s="52" t="s">
        <v>70</v>
      </c>
    </row>
    <row r="30" spans="1:89" x14ac:dyDescent="0.45">
      <c r="A30" s="26"/>
      <c r="B30" s="74" t="str">
        <f>A82</f>
        <v>Residential Demand (Kgal)</v>
      </c>
      <c r="C30" s="75"/>
      <c r="D30" s="13">
        <f>C84</f>
        <v>111009.96192</v>
      </c>
      <c r="E30" s="12">
        <f>B84</f>
        <v>104204.22408000001</v>
      </c>
      <c r="G30" s="13">
        <f>C85</f>
        <v>123525.13140000001</v>
      </c>
      <c r="H30" s="12">
        <f>B85</f>
        <v>116687.49136</v>
      </c>
      <c r="J30" s="13">
        <f>C86</f>
        <v>113258.78652000001</v>
      </c>
      <c r="K30" s="12">
        <f>B86</f>
        <v>109598.96464000001</v>
      </c>
      <c r="M30" s="13">
        <f>C87</f>
        <v>107128.05136</v>
      </c>
      <c r="N30" s="12">
        <f>B87</f>
        <v>109656.01460000001</v>
      </c>
      <c r="O30" s="56"/>
      <c r="P30" s="13">
        <f>C88</f>
        <v>144930.45292000001</v>
      </c>
      <c r="Q30" s="12">
        <f>B88</f>
        <v>154696.23620000001</v>
      </c>
      <c r="R30" s="56"/>
      <c r="S30" s="13">
        <f>C89</f>
        <v>151028.01428</v>
      </c>
      <c r="T30" s="12">
        <f>B89</f>
        <v>159889.35336000001</v>
      </c>
      <c r="V30" s="13">
        <f>C90</f>
        <v>143816.33684</v>
      </c>
      <c r="W30" s="12">
        <f>B90</f>
        <v>160013.98512</v>
      </c>
      <c r="X30" s="10"/>
      <c r="Y30" s="13">
        <f>C91</f>
        <v>260607.45612000002</v>
      </c>
      <c r="Z30" s="12">
        <f>B91</f>
        <v>337995.64084000001</v>
      </c>
      <c r="AA30" s="10"/>
      <c r="AB30" s="13">
        <f>C92</f>
        <v>173601.36772000001</v>
      </c>
      <c r="AC30" s="12">
        <f>B92</f>
        <v>243049.08364000003</v>
      </c>
      <c r="AD30" s="10"/>
      <c r="AE30" s="13">
        <f>C93</f>
        <v>131198.83348</v>
      </c>
      <c r="AF30" s="12">
        <f>B93</f>
        <v>162175.56299999999</v>
      </c>
      <c r="AG30" s="10"/>
      <c r="AH30" s="13">
        <f>C94</f>
        <v>170629.38420000003</v>
      </c>
      <c r="AI30" s="12">
        <f>B94</f>
        <v>207737.90356000001</v>
      </c>
      <c r="AJ30" s="10"/>
      <c r="AK30" s="13">
        <f>C95</f>
        <v>117899.62536000001</v>
      </c>
      <c r="AL30" s="12">
        <f>B95</f>
        <v>124779.79668000001</v>
      </c>
      <c r="AM30" s="58"/>
      <c r="AN30" s="13">
        <f>C96</f>
        <v>104204.22408000001</v>
      </c>
      <c r="AO30" s="12">
        <f>B96</f>
        <v>124538.23756000001</v>
      </c>
      <c r="AP30" s="58"/>
      <c r="AQ30" s="13">
        <f>C97</f>
        <v>116687.49136</v>
      </c>
      <c r="AR30" s="12">
        <f>B97</f>
        <v>144510.13676000002</v>
      </c>
      <c r="AS30" s="58"/>
      <c r="AT30" s="13">
        <f>C98</f>
        <v>109598.96464000001</v>
      </c>
      <c r="AU30" s="12">
        <f>B98</f>
        <v>95313.825200000007</v>
      </c>
      <c r="AV30" s="58"/>
      <c r="AW30" s="13">
        <f>C99</f>
        <v>109656.01460000001</v>
      </c>
      <c r="AX30" s="12">
        <f>B99</f>
        <v>106271.913</v>
      </c>
      <c r="AY30" s="10"/>
      <c r="AZ30" s="13">
        <f>C100</f>
        <v>154696.23620000001</v>
      </c>
      <c r="BA30" s="12">
        <f>B100</f>
        <v>134556.17164000002</v>
      </c>
      <c r="BB30" s="10"/>
      <c r="BC30" s="13">
        <f>C101</f>
        <v>159889.35336000001</v>
      </c>
      <c r="BD30" s="12">
        <f>B101</f>
        <v>142779.00296000001</v>
      </c>
      <c r="BE30" s="10"/>
      <c r="BF30" s="13">
        <f>C102</f>
        <v>160013.98512</v>
      </c>
      <c r="BG30" s="12">
        <f>B102</f>
        <v>196888.23088000002</v>
      </c>
      <c r="BH30" s="56"/>
      <c r="BI30" s="13">
        <f>C103</f>
        <v>337995.64084000001</v>
      </c>
      <c r="BJ30" s="12">
        <f>B103</f>
        <v>364911.47836000001</v>
      </c>
      <c r="BK30" s="56"/>
      <c r="BL30" s="13">
        <f>C104</f>
        <v>243049.08364000003</v>
      </c>
      <c r="BM30" s="12">
        <f>B104</f>
        <v>137121.96872</v>
      </c>
      <c r="BN30" s="56"/>
      <c r="BO30" s="13">
        <f>C105</f>
        <v>162175.56299999999</v>
      </c>
      <c r="BP30" s="12">
        <f>B105</f>
        <v>182996.96580000001</v>
      </c>
      <c r="BQ30" s="56"/>
      <c r="BR30" s="13">
        <f>C106</f>
        <v>207737.90356000001</v>
      </c>
      <c r="BS30" s="12">
        <f>B106</f>
        <v>195285.92512</v>
      </c>
      <c r="BT30" s="56"/>
      <c r="BU30" s="13">
        <f>C107</f>
        <v>124779.79668000001</v>
      </c>
      <c r="BV30" s="12">
        <f>B107</f>
        <v>125449.09212</v>
      </c>
      <c r="BW30" s="56"/>
      <c r="BX30" s="13">
        <f>C108</f>
        <v>124538.23756000001</v>
      </c>
      <c r="BY30" s="12">
        <f>B108</f>
        <v>113415.44016000001</v>
      </c>
      <c r="BZ30" s="56"/>
      <c r="CA30" s="13">
        <f>C109</f>
        <v>144510.13676000002</v>
      </c>
      <c r="CB30" s="12">
        <f>B109</f>
        <v>112550.39312000001</v>
      </c>
      <c r="CC30" s="56"/>
      <c r="CD30" s="13">
        <f>C110</f>
        <v>95313.825200000007</v>
      </c>
      <c r="CE30" s="12">
        <f>B110</f>
        <v>113675.53472000001</v>
      </c>
      <c r="CF30" s="56"/>
      <c r="CG30" s="13">
        <f>C111</f>
        <v>106271.913</v>
      </c>
      <c r="CH30" s="12">
        <f>B111</f>
        <v>139571.10772</v>
      </c>
      <c r="CI30" s="56"/>
      <c r="CJ30" s="13">
        <f>C112</f>
        <v>134556.17164000002</v>
      </c>
      <c r="CK30" s="12">
        <f>B112</f>
        <v>175001.20483999999</v>
      </c>
    </row>
    <row r="31" spans="1:89" x14ac:dyDescent="0.45">
      <c r="A31" s="26"/>
      <c r="B31" s="74" t="str">
        <f>A114</f>
        <v>Non-Residential Demand (Kgal)</v>
      </c>
      <c r="C31" s="75"/>
      <c r="D31" s="13">
        <f>C116</f>
        <v>24891.70464</v>
      </c>
      <c r="E31" s="12">
        <f>B116</f>
        <v>27184.287240000001</v>
      </c>
      <c r="G31" s="13">
        <f>C117</f>
        <v>42416.79552</v>
      </c>
      <c r="H31" s="12">
        <f>B117</f>
        <v>52556.783840000004</v>
      </c>
      <c r="J31" s="13">
        <f>C118</f>
        <v>33427.880640000003</v>
      </c>
      <c r="K31" s="12">
        <f>B118</f>
        <v>30008.585640000001</v>
      </c>
      <c r="M31" s="13">
        <f>C119</f>
        <v>26254.44844</v>
      </c>
      <c r="N31" s="12">
        <f>B119</f>
        <v>21459.484200000003</v>
      </c>
      <c r="O31" s="56"/>
      <c r="P31" s="13">
        <f>C120</f>
        <v>33248.873200000002</v>
      </c>
      <c r="Q31" s="12">
        <f>B120</f>
        <v>47687.401080000003</v>
      </c>
      <c r="R31" s="56"/>
      <c r="S31" s="13">
        <f>C121</f>
        <v>42679.937520000007</v>
      </c>
      <c r="T31" s="12">
        <f>B121</f>
        <v>33702.69584</v>
      </c>
      <c r="V31" s="13">
        <f>C122</f>
        <v>34036.498319999999</v>
      </c>
      <c r="W31" s="12">
        <f>B122</f>
        <v>30630.764560000003</v>
      </c>
      <c r="X31" s="10"/>
      <c r="Y31" s="13">
        <f>C123</f>
        <v>86367.775120000006</v>
      </c>
      <c r="Z31" s="12">
        <f>B123</f>
        <v>87939.966400000005</v>
      </c>
      <c r="AA31" s="10"/>
      <c r="AB31" s="13">
        <f>C124</f>
        <v>49561.754440000004</v>
      </c>
      <c r="AC31" s="12">
        <f>B124</f>
        <v>51017.646679999998</v>
      </c>
      <c r="AD31" s="10"/>
      <c r="AE31" s="13">
        <f>C125</f>
        <v>32261.419520000003</v>
      </c>
      <c r="AF31" s="12">
        <f>B125</f>
        <v>38090.246920000005</v>
      </c>
      <c r="AG31" s="10"/>
      <c r="AH31" s="13">
        <f>C126</f>
        <v>66164.871080000012</v>
      </c>
      <c r="AI31" s="12">
        <f>B126</f>
        <v>72201.814520000014</v>
      </c>
      <c r="AJ31" s="10"/>
      <c r="AK31" s="13">
        <f>C127</f>
        <v>38851.995160000006</v>
      </c>
      <c r="AL31" s="12">
        <f>B127</f>
        <v>32645.300600000002</v>
      </c>
      <c r="AM31" s="58"/>
      <c r="AN31" s="13">
        <f>C128</f>
        <v>27184.287240000001</v>
      </c>
      <c r="AO31" s="12">
        <f>B128</f>
        <v>32987.652720000006</v>
      </c>
      <c r="AP31" s="58"/>
      <c r="AQ31" s="13">
        <f>C129</f>
        <v>52556.783840000004</v>
      </c>
      <c r="AR31" s="12">
        <f>B129</f>
        <v>37296.185080000003</v>
      </c>
      <c r="AS31" s="58"/>
      <c r="AT31" s="13">
        <f>C130</f>
        <v>30008.585640000001</v>
      </c>
      <c r="AU31" s="12">
        <f>B130</f>
        <v>52983.592640000003</v>
      </c>
      <c r="AV31" s="58"/>
      <c r="AW31" s="13">
        <f>C131</f>
        <v>21459.484200000003</v>
      </c>
      <c r="AX31" s="12">
        <f>B131</f>
        <v>30657.737440000001</v>
      </c>
      <c r="AY31" s="10"/>
      <c r="AZ31" s="13">
        <f>C132</f>
        <v>47687.401080000003</v>
      </c>
      <c r="BA31" s="12">
        <f>B132</f>
        <v>25485.257600000001</v>
      </c>
      <c r="BB31" s="10"/>
      <c r="BC31" s="13">
        <f>C133</f>
        <v>33702.69584</v>
      </c>
      <c r="BD31" s="12">
        <f>B133</f>
        <v>43493.567040000002</v>
      </c>
      <c r="BE31" s="10"/>
      <c r="BF31" s="13">
        <f>C134</f>
        <v>30630.764560000003</v>
      </c>
      <c r="BG31" s="12">
        <f>B134</f>
        <v>53305.831040000005</v>
      </c>
      <c r="BH31" s="56"/>
      <c r="BI31" s="13">
        <f>C135</f>
        <v>87939.966400000005</v>
      </c>
      <c r="BJ31" s="12">
        <f>B135</f>
        <v>93442.493760000012</v>
      </c>
      <c r="BK31" s="56"/>
      <c r="BL31" s="13">
        <f>C136</f>
        <v>51017.646679999998</v>
      </c>
      <c r="BM31" s="12">
        <f>B136</f>
        <v>45586.979679999997</v>
      </c>
      <c r="BN31" s="56"/>
      <c r="BO31" s="13">
        <f>C137</f>
        <v>38090.246920000005</v>
      </c>
      <c r="BP31" s="12">
        <f>B137</f>
        <v>41019.482240000005</v>
      </c>
      <c r="BQ31" s="56"/>
      <c r="BR31" s="13">
        <f>C138</f>
        <v>72201.814520000014</v>
      </c>
      <c r="BS31" s="12">
        <f>B138</f>
        <v>55350.474080000007</v>
      </c>
      <c r="BT31" s="56"/>
      <c r="BU31" s="13">
        <f>C139</f>
        <v>32645.300600000002</v>
      </c>
      <c r="BV31" s="12">
        <f>B139</f>
        <v>28832.602480000001</v>
      </c>
      <c r="BW31" s="56"/>
      <c r="BX31" s="13">
        <f>C140</f>
        <v>32987.652720000006</v>
      </c>
      <c r="BY31" s="12">
        <f>B140</f>
        <v>27305.762440000002</v>
      </c>
      <c r="BZ31" s="56"/>
      <c r="CA31" s="13">
        <f>C141</f>
        <v>37296.185080000003</v>
      </c>
      <c r="CB31" s="12">
        <f>B141</f>
        <v>43384.037400000008</v>
      </c>
      <c r="CC31" s="56"/>
      <c r="CD31" s="13">
        <f>C142</f>
        <v>52983.592640000003</v>
      </c>
      <c r="CE31" s="12">
        <f>B142</f>
        <v>34485.290840000001</v>
      </c>
      <c r="CF31" s="56"/>
      <c r="CG31" s="13">
        <f>C143</f>
        <v>30657.737440000001</v>
      </c>
      <c r="CH31" s="12">
        <f>B143</f>
        <v>43618.864520000003</v>
      </c>
      <c r="CI31" s="56"/>
      <c r="CJ31" s="13">
        <f>C144</f>
        <v>25485.257600000001</v>
      </c>
      <c r="CK31" s="12">
        <f>B144</f>
        <v>47925.220200000003</v>
      </c>
    </row>
    <row r="32" spans="1:89" x14ac:dyDescent="0.45">
      <c r="A32" s="26"/>
      <c r="B32" s="74" t="str">
        <f>A146</f>
        <v>Wholesale Demand (Kgal)</v>
      </c>
      <c r="C32" s="75"/>
      <c r="D32" s="13">
        <f>C148</f>
        <v>0</v>
      </c>
      <c r="E32" s="12">
        <f>B148</f>
        <v>0</v>
      </c>
      <c r="G32" s="13">
        <f>C149</f>
        <v>14013.78</v>
      </c>
      <c r="H32" s="12">
        <f>B149</f>
        <v>21965.02</v>
      </c>
      <c r="J32" s="13">
        <f>C150</f>
        <v>0</v>
      </c>
      <c r="K32" s="12">
        <f>B150</f>
        <v>0</v>
      </c>
      <c r="M32" s="13">
        <f>C151</f>
        <v>0</v>
      </c>
      <c r="N32" s="12">
        <f>B151</f>
        <v>0</v>
      </c>
      <c r="O32" s="56"/>
      <c r="P32" s="13">
        <f>C152</f>
        <v>30443.599999999999</v>
      </c>
      <c r="Q32" s="12">
        <f>B152</f>
        <v>27331</v>
      </c>
      <c r="R32" s="56"/>
      <c r="S32" s="13">
        <f>C153</f>
        <v>0</v>
      </c>
      <c r="T32" s="12">
        <f>B153</f>
        <v>0</v>
      </c>
      <c r="V32" s="13">
        <f>C154</f>
        <v>0</v>
      </c>
      <c r="W32" s="12">
        <f>B154</f>
        <v>0</v>
      </c>
      <c r="X32" s="10"/>
      <c r="Y32" s="13">
        <f>C155</f>
        <v>38376.14</v>
      </c>
      <c r="Z32" s="12">
        <f>B155</f>
        <v>50400.24</v>
      </c>
      <c r="AA32" s="10"/>
      <c r="AB32" s="13">
        <f>C156</f>
        <v>0</v>
      </c>
      <c r="AC32" s="12">
        <f>B156</f>
        <v>0</v>
      </c>
      <c r="AD32" s="10"/>
      <c r="AE32" s="13">
        <f>C157</f>
        <v>0</v>
      </c>
      <c r="AF32" s="12">
        <f>B157</f>
        <v>0</v>
      </c>
      <c r="AG32" s="10"/>
      <c r="AH32" s="13">
        <f>C158</f>
        <v>24784.98</v>
      </c>
      <c r="AI32" s="12">
        <f>B158</f>
        <v>30611.9</v>
      </c>
      <c r="AJ32" s="10"/>
      <c r="AK32" s="13">
        <f>C159</f>
        <v>0</v>
      </c>
      <c r="AL32" s="12">
        <f>B159</f>
        <v>0</v>
      </c>
      <c r="AM32" s="58"/>
      <c r="AN32" s="13">
        <f>C160</f>
        <v>0</v>
      </c>
      <c r="AO32" s="12">
        <f>B160</f>
        <v>0</v>
      </c>
      <c r="AP32" s="58"/>
      <c r="AQ32" s="13">
        <f>C161</f>
        <v>21965.02</v>
      </c>
      <c r="AR32" s="13">
        <f>B161</f>
        <v>30196.76</v>
      </c>
      <c r="AS32" s="60"/>
      <c r="AT32" s="13">
        <f>C162</f>
        <v>0</v>
      </c>
      <c r="AU32" s="13">
        <f>B162</f>
        <v>0</v>
      </c>
      <c r="AV32" s="60"/>
      <c r="AW32" s="13">
        <f>C163</f>
        <v>0</v>
      </c>
      <c r="AX32" s="13">
        <f>B163</f>
        <v>0</v>
      </c>
      <c r="AY32" s="10"/>
      <c r="AZ32" s="13">
        <f>C164</f>
        <v>27331</v>
      </c>
      <c r="BA32" s="13">
        <f>B164</f>
        <v>27993.9</v>
      </c>
      <c r="BB32" s="10"/>
      <c r="BC32" s="13">
        <f>C165</f>
        <v>0</v>
      </c>
      <c r="BD32" s="13">
        <f>B165</f>
        <v>0</v>
      </c>
      <c r="BE32" s="10"/>
      <c r="BF32" s="13">
        <f>C166</f>
        <v>0</v>
      </c>
      <c r="BG32" s="13">
        <f>B166</f>
        <v>11056.179</v>
      </c>
      <c r="BH32" s="56"/>
      <c r="BI32" s="13">
        <f>C167</f>
        <v>50400.24</v>
      </c>
      <c r="BJ32" s="13">
        <f>B167</f>
        <v>16202.763000000001</v>
      </c>
      <c r="BK32" s="56"/>
      <c r="BL32" s="13">
        <f>C168</f>
        <v>0</v>
      </c>
      <c r="BM32" s="13">
        <f>B168</f>
        <v>9585.6200000000008</v>
      </c>
      <c r="BN32" s="56"/>
      <c r="BO32" s="13">
        <f>C169</f>
        <v>0</v>
      </c>
      <c r="BP32" s="13">
        <f>B169</f>
        <v>6754.44</v>
      </c>
      <c r="BQ32" s="56"/>
      <c r="BR32" s="13">
        <f>C170</f>
        <v>30611.9</v>
      </c>
      <c r="BS32" s="13">
        <f>B170</f>
        <v>7547.32</v>
      </c>
      <c r="BT32" s="56"/>
      <c r="BU32" s="13">
        <f>C171</f>
        <v>0</v>
      </c>
      <c r="BV32" s="13">
        <f>B171</f>
        <v>5643.66</v>
      </c>
      <c r="BW32" s="56"/>
      <c r="BX32" s="13">
        <f>C172</f>
        <v>0</v>
      </c>
      <c r="BY32" s="13">
        <f>B172</f>
        <v>6907.78</v>
      </c>
      <c r="BZ32" s="56"/>
      <c r="CA32" s="13">
        <f>C173</f>
        <v>30196.76</v>
      </c>
      <c r="CB32" s="13">
        <f>B173</f>
        <v>6111.16</v>
      </c>
      <c r="CC32" s="56"/>
      <c r="CD32" s="13">
        <f>C174</f>
        <v>0</v>
      </c>
      <c r="CE32" s="13">
        <f>B174</f>
        <v>5707.24</v>
      </c>
      <c r="CF32" s="56"/>
      <c r="CG32" s="13">
        <f>C175</f>
        <v>0</v>
      </c>
      <c r="CH32" s="13">
        <f>B175</f>
        <v>6522.56</v>
      </c>
      <c r="CI32" s="56"/>
      <c r="CJ32" s="13">
        <f>C176</f>
        <v>27993.9</v>
      </c>
      <c r="CK32" s="13">
        <f>B176</f>
        <v>8549.64</v>
      </c>
    </row>
    <row r="33" spans="1:89" x14ac:dyDescent="0.45">
      <c r="A33" s="26"/>
      <c r="B33" s="74" t="str">
        <f>"Total Demand ("&amp;'Demand Input'!$C$8&amp;")"</f>
        <v>Total Demand (Kgal)</v>
      </c>
      <c r="C33" s="75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  <c r="CF33" s="56"/>
      <c r="CG33" s="13">
        <f t="shared" ref="CG33:CH33" si="15">SUM(CG30:CG32)</f>
        <v>136929.65044</v>
      </c>
      <c r="CH33" s="12">
        <f t="shared" si="15"/>
        <v>189712.53224</v>
      </c>
      <c r="CI33" s="56"/>
      <c r="CJ33" s="13">
        <f t="shared" ref="CJ33:CK33" si="16">SUM(CJ30:CJ32)</f>
        <v>188035.32924000002</v>
      </c>
      <c r="CK33" s="12">
        <f t="shared" si="16"/>
        <v>231476.06504000002</v>
      </c>
    </row>
    <row r="34" spans="1:89" x14ac:dyDescent="0.45">
      <c r="A34" s="26"/>
      <c r="B34" s="74" t="s">
        <v>5</v>
      </c>
      <c r="C34" s="75"/>
      <c r="D34" s="69">
        <f>E33/D33-1</f>
        <v>-3.3208976418309444E-2</v>
      </c>
      <c r="E34" s="69"/>
      <c r="F34" s="17"/>
      <c r="G34" s="69">
        <f>H33/G33-1</f>
        <v>6.2535323122610453E-2</v>
      </c>
      <c r="H34" s="69"/>
      <c r="I34" s="17"/>
      <c r="J34" s="69">
        <f>K33/J33-1</f>
        <v>-4.8260124911546298E-2</v>
      </c>
      <c r="K34" s="69"/>
      <c r="L34" s="17"/>
      <c r="M34" s="69">
        <f>N33/M33-1</f>
        <v>-1.6996240161934573E-2</v>
      </c>
      <c r="N34" s="69"/>
      <c r="O34" s="17"/>
      <c r="P34" s="69">
        <f>Q33/P33-1</f>
        <v>0.10109968042471063</v>
      </c>
      <c r="Q34" s="69"/>
      <c r="R34" s="17"/>
      <c r="S34" s="69">
        <f>T33/S33-1</f>
        <v>-5.9833682057441884E-4</v>
      </c>
      <c r="T34" s="69"/>
      <c r="U34" s="17"/>
      <c r="V34" s="69">
        <f>W33/V33-1</f>
        <v>7.1924152957652421E-2</v>
      </c>
      <c r="W34" s="69"/>
      <c r="X34" s="10"/>
      <c r="Y34" s="69">
        <f>Z33/Y33-1</f>
        <v>0.23610782986765111</v>
      </c>
      <c r="Z34" s="69"/>
      <c r="AA34" s="10"/>
      <c r="AB34" s="69">
        <f>AC33/AB33-1</f>
        <v>0.31772099025019296</v>
      </c>
      <c r="AC34" s="69"/>
      <c r="AD34" s="10"/>
      <c r="AE34" s="69">
        <f>AF33/AE33-1</f>
        <v>0.22516517773895783</v>
      </c>
      <c r="AF34" s="69"/>
      <c r="AG34" s="10"/>
      <c r="AH34" s="69">
        <f>AI33/AH33-1</f>
        <v>0.18721815876393588</v>
      </c>
      <c r="AI34" s="69"/>
      <c r="AJ34" s="10"/>
      <c r="AK34" s="67">
        <f>AL33/AK33-1</f>
        <v>4.2964580383020312E-3</v>
      </c>
      <c r="AL34" s="68"/>
      <c r="AM34" s="59"/>
      <c r="AN34" s="67">
        <f>AO33/AN33-1</f>
        <v>0.19893199715416343</v>
      </c>
      <c r="AO34" s="68"/>
      <c r="AP34" s="59"/>
      <c r="AQ34" s="67">
        <f>AR33/AQ33-1</f>
        <v>0.10874882739487246</v>
      </c>
      <c r="AR34" s="68"/>
      <c r="AS34" s="59"/>
      <c r="AT34" s="67">
        <f>AU33/AT33-1</f>
        <v>6.2244968431660164E-2</v>
      </c>
      <c r="AU34" s="68"/>
      <c r="AV34" s="59"/>
      <c r="AW34" s="67">
        <f>AX33/AW33-1</f>
        <v>4.4343740390819342E-2</v>
      </c>
      <c r="AX34" s="68"/>
      <c r="AY34" s="10"/>
      <c r="AZ34" s="67">
        <f>BA33/AZ33-1</f>
        <v>-0.18143949612229948</v>
      </c>
      <c r="BA34" s="68"/>
      <c r="BB34" s="10"/>
      <c r="BC34" s="67">
        <f>BD33/BC33-1</f>
        <v>-3.7808780010579079E-2</v>
      </c>
      <c r="BD34" s="68"/>
      <c r="BE34" s="10"/>
      <c r="BF34" s="67">
        <f>BG33/BF33-1</f>
        <v>0.37035109206265759</v>
      </c>
      <c r="BG34" s="68"/>
      <c r="BH34" s="56"/>
      <c r="BI34" s="67">
        <f>BJ33/BI33-1</f>
        <v>-3.7349952356274807E-3</v>
      </c>
      <c r="BJ34" s="68"/>
      <c r="BK34" s="56"/>
      <c r="BL34" s="67">
        <f>BM33/BL33-1</f>
        <v>-0.34608526374014748</v>
      </c>
      <c r="BM34" s="68"/>
      <c r="BN34" s="56"/>
      <c r="BO34" s="67">
        <f>BP33/BO33-1</f>
        <v>0.1523229458497477</v>
      </c>
      <c r="BP34" s="68"/>
      <c r="BQ34" s="56"/>
      <c r="BR34" s="67">
        <f>BS33/BR33-1</f>
        <v>-0.16862864603239558</v>
      </c>
      <c r="BS34" s="68"/>
      <c r="BT34" s="56"/>
      <c r="BU34" s="67">
        <f>BV33/BU33-1</f>
        <v>1.5882202794850198E-2</v>
      </c>
      <c r="BV34" s="68"/>
      <c r="BW34" s="56"/>
      <c r="BX34" s="67">
        <f>BY33/BX33-1</f>
        <v>-6.2827181375762375E-2</v>
      </c>
      <c r="BY34" s="68"/>
      <c r="BZ34" s="56"/>
      <c r="CA34" s="67">
        <f>CB33/CA33-1</f>
        <v>-0.23564511839362412</v>
      </c>
      <c r="CB34" s="68"/>
      <c r="CC34" s="56"/>
      <c r="CD34" s="67">
        <f>CE33/CD33-1</f>
        <v>3.7564023710852767E-2</v>
      </c>
      <c r="CE34" s="68"/>
      <c r="CF34" s="56"/>
      <c r="CG34" s="67">
        <f>CH33/CG33-1</f>
        <v>0.38547445078835185</v>
      </c>
      <c r="CH34" s="68"/>
      <c r="CI34" s="56"/>
      <c r="CJ34" s="67">
        <f>CK33/CJ33-1</f>
        <v>0.2310243291810028</v>
      </c>
      <c r="CK34" s="68"/>
    </row>
    <row r="35" spans="1:89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</row>
    <row r="36" spans="1:89" x14ac:dyDescent="0.45">
      <c r="A36" s="26"/>
      <c r="B36" s="73" t="s">
        <v>41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CC36" s="8"/>
      <c r="CD36" s="8"/>
      <c r="CE36" s="8"/>
    </row>
    <row r="37" spans="1:89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89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89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89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89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89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89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89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89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89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89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89" s="8" customFormat="1" x14ac:dyDescent="0.45">
      <c r="A48" s="72" t="s">
        <v>12</v>
      </c>
      <c r="B48" s="72"/>
      <c r="C48" s="72"/>
      <c r="D48" s="72"/>
      <c r="E48" s="72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x14ac:dyDescent="0.45">
      <c r="A51" s="1" t="s">
        <v>0</v>
      </c>
      <c r="B51" s="2" t="s">
        <v>66</v>
      </c>
      <c r="C51" s="2" t="s">
        <v>68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Input'!F52</f>
        <v>167.53200000000001</v>
      </c>
      <c r="C52" s="21">
        <f>'Demand Input'!D52</f>
        <v>173.84700000000001</v>
      </c>
      <c r="D52" s="4">
        <f t="shared" ref="D52:D59" si="17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Input'!F53</f>
        <v>190.30600000000001</v>
      </c>
      <c r="C53" s="21">
        <f>'Demand Input'!D53</f>
        <v>195.333</v>
      </c>
      <c r="D53" s="4">
        <f t="shared" si="17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Input'!F54</f>
        <v>178.22</v>
      </c>
      <c r="C54" s="21">
        <f>'Demand Input'!D54</f>
        <v>193.55099999999999</v>
      </c>
      <c r="D54" s="4">
        <f t="shared" si="17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Input'!F55</f>
        <v>240.625</v>
      </c>
      <c r="C55" s="21">
        <f>'Demand Input'!D55</f>
        <v>228.09100000000001</v>
      </c>
      <c r="D55" s="4">
        <f t="shared" si="17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Input'!F56</f>
        <v>348.57</v>
      </c>
      <c r="C56" s="21">
        <f>'Demand Input'!D56</f>
        <v>257.89999999999998</v>
      </c>
      <c r="D56" s="4">
        <f t="shared" si="17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Input'!F57</f>
        <v>381.34</v>
      </c>
      <c r="C57" s="21">
        <f>'Demand Input'!D57</f>
        <v>333.37</v>
      </c>
      <c r="D57" s="4">
        <f t="shared" si="17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Input'!F58</f>
        <v>370.12</v>
      </c>
      <c r="C58" s="21">
        <f>'Demand Input'!D58</f>
        <v>323.49</v>
      </c>
      <c r="D58" s="4">
        <f t="shared" si="17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Input'!F59</f>
        <v>320.39</v>
      </c>
      <c r="C59" s="21">
        <f>'Demand Input'!D59</f>
        <v>282.52999999999997</v>
      </c>
      <c r="D59" s="4">
        <f t="shared" si="17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Input'!F60</f>
        <v>233.34</v>
      </c>
      <c r="C60" s="21">
        <f>'Demand Input'!D60</f>
        <v>208.72</v>
      </c>
      <c r="D60" s="4">
        <f t="shared" ref="D60:D62" si="18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Input'!F61</f>
        <v>187.14</v>
      </c>
      <c r="C61" s="21">
        <f>'Demand Input'!D61</f>
        <v>193.92</v>
      </c>
      <c r="D61" s="4">
        <f t="shared" si="18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Input'!F62</f>
        <v>182.02</v>
      </c>
      <c r="C62" s="21">
        <f>'Demand Input'!D62</f>
        <v>188.86</v>
      </c>
      <c r="D62" s="4">
        <f t="shared" si="18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Input'!F63</f>
        <v>189.96</v>
      </c>
      <c r="C63" s="21">
        <f>'Demand Input'!D63</f>
        <v>189.94</v>
      </c>
      <c r="D63" s="4">
        <f t="shared" ref="D63:D64" si="19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Input'!F64</f>
        <v>178.97</v>
      </c>
      <c r="C64" s="21">
        <f>'Demand Input'!D64</f>
        <v>173.75</v>
      </c>
      <c r="D64" s="4">
        <f t="shared" si="19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Input'!F65</f>
        <v>195.96</v>
      </c>
      <c r="C65" s="21">
        <f>'Demand Input'!D65</f>
        <v>190.77</v>
      </c>
      <c r="D65" s="4">
        <f t="shared" ref="D65" si="20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Input'!F66</f>
        <v>203.05</v>
      </c>
      <c r="C66" s="21">
        <f>'Demand Input'!D66</f>
        <v>184.23</v>
      </c>
      <c r="D66" s="4">
        <f t="shared" ref="D66:D68" si="21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Input'!F67</f>
        <v>280.19</v>
      </c>
      <c r="C67" s="21">
        <f>'Demand Input'!D67</f>
        <v>240.63</v>
      </c>
      <c r="D67" s="4">
        <f t="shared" si="21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Input'!F68</f>
        <v>329.03800000000001</v>
      </c>
      <c r="C68" s="21">
        <f>'Demand Input'!D68</f>
        <v>348.57</v>
      </c>
      <c r="D68" s="4">
        <f t="shared" si="21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52</v>
      </c>
      <c r="B69" s="21">
        <f>'Demand Input'!F69</f>
        <v>293.58499999999998</v>
      </c>
      <c r="C69" s="21">
        <f>'Demand Input'!D69</f>
        <v>381.33600000000001</v>
      </c>
      <c r="D69" s="4">
        <f t="shared" ref="D69" si="22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54</v>
      </c>
      <c r="B70" s="21">
        <f>'Demand Input'!F70</f>
        <v>314.51</v>
      </c>
      <c r="C70" s="21">
        <f>'Demand Input'!D70</f>
        <v>370.12</v>
      </c>
      <c r="D70" s="4">
        <f t="shared" ref="D70" si="23">B70/C70</f>
        <v>0.84975143196801028</v>
      </c>
    </row>
    <row r="71" spans="1:45" s="8" customFormat="1" x14ac:dyDescent="0.45">
      <c r="A71" s="47" t="s">
        <v>57</v>
      </c>
      <c r="B71" s="21">
        <f>'Demand Input'!F71</f>
        <v>279.10500000000002</v>
      </c>
      <c r="C71" s="21">
        <f>'Demand Input'!D71</f>
        <v>331.274</v>
      </c>
      <c r="D71" s="4">
        <f t="shared" ref="D71" si="24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58</v>
      </c>
      <c r="B72" s="21">
        <f>'Demand Input'!F72</f>
        <v>230.88</v>
      </c>
      <c r="C72" s="21">
        <f>'Demand Input'!D72</f>
        <v>242.62</v>
      </c>
      <c r="D72" s="4">
        <f t="shared" ref="D72:D73" si="25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60</v>
      </c>
      <c r="B73" s="21">
        <f>'Demand Input'!F73</f>
        <v>196.185</v>
      </c>
      <c r="C73" s="21">
        <f>'Demand Input'!D73</f>
        <v>193.57</v>
      </c>
      <c r="D73" s="4">
        <f t="shared" si="25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62</v>
      </c>
      <c r="B74" s="21">
        <f>'Demand Input'!F74</f>
        <v>182.82619700000001</v>
      </c>
      <c r="C74" s="21">
        <f>'Demand Input'!D74</f>
        <v>188.58445</v>
      </c>
      <c r="D74" s="4">
        <f t="shared" ref="D74" si="26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65</v>
      </c>
      <c r="B75" s="21">
        <f>'Demand Input'!F75</f>
        <v>179.42974799999999</v>
      </c>
      <c r="C75" s="21">
        <f>'Demand Input'!D75</f>
        <v>189.96651399999999</v>
      </c>
      <c r="D75" s="4">
        <f t="shared" ref="D75:D76" si="27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74</v>
      </c>
      <c r="B76" s="21">
        <f>'Demand Input'!F76</f>
        <v>165.72</v>
      </c>
      <c r="C76" s="21">
        <f>'Demand Input'!D76</f>
        <v>178.97</v>
      </c>
      <c r="D76" s="4">
        <f t="shared" si="27"/>
        <v>0.92596524557188353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76</v>
      </c>
      <c r="B77" s="21">
        <f>'Demand Input'!F77</f>
        <v>178.56899999999999</v>
      </c>
      <c r="C77" s="21">
        <f>'Demand Input'!D77</f>
        <v>195.96299999999999</v>
      </c>
      <c r="D77" s="4">
        <f t="shared" ref="D77" si="28">B77/C77</f>
        <v>0.91123834601429854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78</v>
      </c>
      <c r="B78" s="21">
        <f>'Demand Input'!F78</f>
        <v>197.980932</v>
      </c>
      <c r="C78" s="21">
        <f>'Demand Input'!D78</f>
        <v>209.271692</v>
      </c>
      <c r="D78" s="4">
        <f t="shared" ref="D78" si="29">B78/C78</f>
        <v>0.94604736124559075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 t="s">
        <v>48</v>
      </c>
      <c r="B79" s="21">
        <f>'Demand Input'!F79</f>
        <v>268.98453000000001</v>
      </c>
      <c r="C79" s="21">
        <f>'Demand Input'!D79</f>
        <v>280.19177100000002</v>
      </c>
      <c r="D79" s="4">
        <f t="shared" ref="D79:D80" si="30">B79/C79</f>
        <v>0.96000153409216282</v>
      </c>
      <c r="X79" s="56"/>
      <c r="AA79" s="56"/>
      <c r="AD79" s="56"/>
      <c r="AG79" s="56"/>
      <c r="AJ79" s="56"/>
      <c r="AM79" s="56"/>
      <c r="AP79" s="56"/>
      <c r="AS79" s="56"/>
    </row>
    <row r="80" spans="1:45" s="8" customFormat="1" x14ac:dyDescent="0.45">
      <c r="A80" s="47" t="s">
        <v>111</v>
      </c>
      <c r="B80" s="21">
        <f>'Demand Input'!F80</f>
        <v>300.92</v>
      </c>
      <c r="C80" s="21">
        <f>'Demand Input'!D80</f>
        <v>329.04</v>
      </c>
      <c r="D80" s="4">
        <f t="shared" si="30"/>
        <v>0.91453926574276678</v>
      </c>
      <c r="X80" s="56"/>
      <c r="AA80" s="56"/>
      <c r="AD80" s="56"/>
      <c r="AG80" s="56"/>
      <c r="AJ80" s="56"/>
      <c r="AM80" s="56"/>
      <c r="AP80" s="56"/>
      <c r="AS80" s="56"/>
    </row>
    <row r="81" spans="1:45" s="8" customFormat="1" x14ac:dyDescent="0.45">
      <c r="A81" s="47"/>
      <c r="B81" s="21"/>
      <c r="C81" s="21"/>
      <c r="D81" s="4"/>
      <c r="X81" s="56"/>
      <c r="AA81" s="56"/>
      <c r="AD81" s="56"/>
      <c r="AG81" s="56"/>
      <c r="AJ81" s="56"/>
      <c r="AM81" s="56"/>
      <c r="AP81" s="56"/>
      <c r="AS81" s="56"/>
    </row>
    <row r="82" spans="1:45" x14ac:dyDescent="0.45">
      <c r="A82" s="6" t="str">
        <f>"Residential Demand ("&amp;'Demand Input'!$C$8&amp;")"</f>
        <v>Residential Demand (Kgal)</v>
      </c>
    </row>
    <row r="83" spans="1:45" x14ac:dyDescent="0.45">
      <c r="A83" s="1" t="s">
        <v>0</v>
      </c>
      <c r="B83" s="2" t="s">
        <v>67</v>
      </c>
      <c r="C83" s="2" t="s">
        <v>68</v>
      </c>
    </row>
    <row r="84" spans="1:45" x14ac:dyDescent="0.45">
      <c r="A84" s="51">
        <v>43862</v>
      </c>
      <c r="B84" s="5">
        <f>'Demand Input'!F17</f>
        <v>104204.22408000001</v>
      </c>
      <c r="C84" s="5">
        <f>'Demand Input'!B17</f>
        <v>111009.96192</v>
      </c>
      <c r="D84" s="3">
        <f>B84/C84</f>
        <v>0.93869254864798002</v>
      </c>
      <c r="E84" s="3"/>
      <c r="F84" s="3"/>
      <c r="I84" s="3"/>
      <c r="L84" s="3"/>
      <c r="O84" s="3"/>
      <c r="R84" s="3"/>
      <c r="U84" s="3"/>
    </row>
    <row r="85" spans="1:45" x14ac:dyDescent="0.45">
      <c r="A85" s="51">
        <v>43891</v>
      </c>
      <c r="B85" s="5">
        <f>'Demand Input'!F18</f>
        <v>116687.49136</v>
      </c>
      <c r="C85" s="5">
        <f>'Demand Input'!B18</f>
        <v>123525.13140000001</v>
      </c>
      <c r="D85" s="3">
        <f t="shared" ref="D85:D91" si="31">B85/C85</f>
        <v>0.94464575781054372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43922</v>
      </c>
      <c r="B86" s="5">
        <f>'Demand Input'!F19</f>
        <v>109598.96464000001</v>
      </c>
      <c r="C86" s="5">
        <f>'Demand Input'!B19</f>
        <v>113258.78652000001</v>
      </c>
      <c r="D86" s="3">
        <f t="shared" si="31"/>
        <v>0.9676861990804243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43952</v>
      </c>
      <c r="B87" s="5">
        <f>'Demand Input'!F20</f>
        <v>109656.01460000001</v>
      </c>
      <c r="C87" s="5">
        <f>'Demand Input'!B20</f>
        <v>107128.05136</v>
      </c>
      <c r="D87" s="3">
        <f t="shared" si="31"/>
        <v>1.0235975844599738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43983</v>
      </c>
      <c r="B88" s="5">
        <f>'Demand Input'!F21</f>
        <v>154696.23620000001</v>
      </c>
      <c r="C88" s="5">
        <f>'Demand Input'!B21</f>
        <v>144930.45292000001</v>
      </c>
      <c r="D88" s="3">
        <f t="shared" si="31"/>
        <v>1.0673825485482378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44013</v>
      </c>
      <c r="B89" s="5">
        <f>'Demand Input'!F22</f>
        <v>159889.35336000001</v>
      </c>
      <c r="C89" s="5">
        <f>'Demand Input'!B22</f>
        <v>151028.01428</v>
      </c>
      <c r="D89" s="3">
        <f t="shared" si="31"/>
        <v>1.0586734793690091</v>
      </c>
      <c r="E89" s="3"/>
      <c r="F89" s="3"/>
      <c r="I89" s="3"/>
      <c r="L89" s="3"/>
      <c r="O89" s="3"/>
      <c r="R89" s="3"/>
      <c r="U89" s="3"/>
    </row>
    <row r="90" spans="1:45" x14ac:dyDescent="0.45">
      <c r="A90" s="51">
        <v>44044</v>
      </c>
      <c r="B90" s="5">
        <f>'Demand Input'!F23</f>
        <v>160013.98512</v>
      </c>
      <c r="C90" s="5">
        <f>'Demand Input'!B23</f>
        <v>143816.33684</v>
      </c>
      <c r="D90" s="3">
        <f t="shared" si="31"/>
        <v>1.1126273178409514</v>
      </c>
      <c r="E90" s="3"/>
      <c r="F90" s="3"/>
      <c r="I90" s="3"/>
      <c r="L90" s="3"/>
      <c r="O90" s="3"/>
      <c r="R90" s="3"/>
      <c r="U90" s="3"/>
    </row>
    <row r="91" spans="1:45" x14ac:dyDescent="0.45">
      <c r="A91" s="51">
        <v>44075</v>
      </c>
      <c r="B91" s="5">
        <f>'Demand Input'!F24</f>
        <v>337995.64084000001</v>
      </c>
      <c r="C91" s="5">
        <f>'Demand Input'!B24</f>
        <v>260607.45612000002</v>
      </c>
      <c r="D91" s="3">
        <f t="shared" si="31"/>
        <v>1.2969530721498836</v>
      </c>
    </row>
    <row r="92" spans="1:45" s="8" customFormat="1" x14ac:dyDescent="0.45">
      <c r="A92" s="51">
        <v>44105</v>
      </c>
      <c r="B92" s="5">
        <f>'Demand Input'!F25</f>
        <v>243049.08364000003</v>
      </c>
      <c r="C92" s="5">
        <f>'Demand Input'!B25</f>
        <v>173601.36772000001</v>
      </c>
      <c r="D92" s="3">
        <f t="shared" ref="D92:D94" si="32">B92/C92</f>
        <v>1.4000412947898635</v>
      </c>
      <c r="E92" s="4"/>
      <c r="F92" s="4"/>
      <c r="I92" s="4"/>
      <c r="L92" s="4"/>
      <c r="O92" s="4"/>
      <c r="R92" s="4"/>
      <c r="U92" s="4"/>
      <c r="X92" s="56"/>
      <c r="AA92" s="56"/>
      <c r="AD92" s="56"/>
      <c r="AG92" s="56"/>
      <c r="AJ92" s="56"/>
      <c r="AM92" s="56"/>
      <c r="AP92" s="56"/>
      <c r="AS92" s="56"/>
    </row>
    <row r="93" spans="1:45" s="8" customFormat="1" x14ac:dyDescent="0.45">
      <c r="A93" s="51">
        <v>44136</v>
      </c>
      <c r="B93" s="5">
        <f>'Demand Input'!F26</f>
        <v>162175.56299999999</v>
      </c>
      <c r="C93" s="5">
        <f>'Demand Input'!B26</f>
        <v>131198.83348</v>
      </c>
      <c r="D93" s="3">
        <f t="shared" si="32"/>
        <v>1.2361052205904111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44166</v>
      </c>
      <c r="B94" s="5">
        <f>'Demand Input'!F27</f>
        <v>207737.90356000001</v>
      </c>
      <c r="C94" s="5">
        <f>'Demand Input'!B27</f>
        <v>170629.38420000003</v>
      </c>
      <c r="D94" s="3">
        <f t="shared" si="32"/>
        <v>1.2174802396081084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44197</v>
      </c>
      <c r="B95" s="5">
        <f>'Demand Input'!F28</f>
        <v>124779.79668000001</v>
      </c>
      <c r="C95" s="5">
        <f>'Demand Input'!B28</f>
        <v>117899.62536000001</v>
      </c>
      <c r="D95" s="3">
        <f t="shared" ref="D95" si="33">B95/C95</f>
        <v>1.0583561762727556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44228</v>
      </c>
      <c r="B96" s="5">
        <f>'Demand Input'!F29</f>
        <v>124538.23756000001</v>
      </c>
      <c r="C96" s="5">
        <f>'Demand Input'!B29</f>
        <v>104204.22408000001</v>
      </c>
      <c r="D96" s="3">
        <f t="shared" ref="D96" si="34">B96/C96</f>
        <v>1.1951361728329659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51">
        <v>44256</v>
      </c>
      <c r="B97" s="5">
        <f>'Demand Input'!F30</f>
        <v>144510.13676000002</v>
      </c>
      <c r="C97" s="5">
        <f>'Demand Input'!B30</f>
        <v>116687.49136</v>
      </c>
      <c r="D97" s="3">
        <f t="shared" ref="D97" si="35">B97/C97</f>
        <v>1.2384372572906088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51">
        <v>44287</v>
      </c>
      <c r="B98" s="5">
        <f>'Demand Input'!F31</f>
        <v>95313.825200000007</v>
      </c>
      <c r="C98" s="5">
        <f>'Demand Input'!B31</f>
        <v>109598.96464000001</v>
      </c>
      <c r="D98" s="3">
        <f t="shared" ref="D98:D100" si="36">B98/C98</f>
        <v>0.86965990521057901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47" t="s">
        <v>48</v>
      </c>
      <c r="B99" s="5">
        <f>'Demand Input'!F32</f>
        <v>106271.913</v>
      </c>
      <c r="C99" s="5">
        <f>'Demand Input'!B32</f>
        <v>109656.01460000001</v>
      </c>
      <c r="D99" s="3">
        <f t="shared" si="36"/>
        <v>0.96913893312332722</v>
      </c>
      <c r="E99" s="4"/>
      <c r="F99" s="4"/>
      <c r="I99" s="4"/>
      <c r="L99" s="4"/>
      <c r="O99" s="4"/>
      <c r="R99" s="4"/>
      <c r="U99" s="4"/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49</v>
      </c>
      <c r="B100" s="5">
        <f>'Demand Input'!F33</f>
        <v>134556.17164000002</v>
      </c>
      <c r="C100" s="5">
        <f>'Demand Input'!B33</f>
        <v>154696.23620000001</v>
      </c>
      <c r="D100" s="3">
        <f t="shared" si="36"/>
        <v>0.86980895557173232</v>
      </c>
      <c r="E100" s="4"/>
      <c r="F100" s="4"/>
      <c r="I100" s="4"/>
      <c r="L100" s="4"/>
      <c r="O100" s="4"/>
      <c r="R100" s="4"/>
      <c r="U100" s="4"/>
      <c r="X100" s="56"/>
      <c r="AA100" s="56"/>
      <c r="AD100" s="56"/>
      <c r="AG100" s="56"/>
      <c r="AJ100" s="56"/>
      <c r="AM100" s="56"/>
      <c r="AP100" s="56"/>
      <c r="AS100" s="56"/>
    </row>
    <row r="101" spans="1:45" x14ac:dyDescent="0.45">
      <c r="A101" s="47" t="s">
        <v>52</v>
      </c>
      <c r="B101" s="5">
        <f>'Demand Input'!F34</f>
        <v>142779.00296000001</v>
      </c>
      <c r="C101" s="5">
        <f>'Demand Input'!B34</f>
        <v>159889.35336000001</v>
      </c>
      <c r="D101" s="3">
        <f t="shared" ref="D101" si="37">B101/C101</f>
        <v>0.89298630558924663</v>
      </c>
    </row>
    <row r="102" spans="1:45" s="8" customFormat="1" x14ac:dyDescent="0.45">
      <c r="A102" s="47" t="s">
        <v>54</v>
      </c>
      <c r="B102" s="5">
        <f>'Demand Input'!F35</f>
        <v>196888.23088000002</v>
      </c>
      <c r="C102" s="5">
        <f>'Demand Input'!B35</f>
        <v>160013.98512</v>
      </c>
      <c r="D102" s="3">
        <f t="shared" ref="D102" si="38">B102/C102</f>
        <v>1.230443893590593</v>
      </c>
      <c r="X102" s="56"/>
      <c r="AA102" s="56"/>
      <c r="AD102" s="56"/>
      <c r="AG102" s="56"/>
      <c r="AJ102" s="56"/>
      <c r="AM102" s="56"/>
      <c r="AP102" s="56"/>
      <c r="AS102" s="56"/>
    </row>
    <row r="103" spans="1:45" s="8" customFormat="1" x14ac:dyDescent="0.45">
      <c r="A103" s="47" t="s">
        <v>57</v>
      </c>
      <c r="B103" s="5">
        <f>'Demand Input'!F36</f>
        <v>364911.47836000001</v>
      </c>
      <c r="C103" s="5">
        <f>'Demand Input'!B36</f>
        <v>337995.64084000001</v>
      </c>
      <c r="D103" s="3">
        <f t="shared" ref="D103" si="39">B103/C103</f>
        <v>1.0796336824140917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58</v>
      </c>
      <c r="B104" s="5">
        <f>'Demand Input'!F37</f>
        <v>137121.96872</v>
      </c>
      <c r="C104" s="5">
        <f>'Demand Input'!B37</f>
        <v>243049.08364000003</v>
      </c>
      <c r="D104" s="3">
        <f t="shared" ref="D104" si="40">B104/C104</f>
        <v>0.56417397945471226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60</v>
      </c>
      <c r="B105" s="5">
        <f>'Demand Input'!F38</f>
        <v>182996.96580000001</v>
      </c>
      <c r="C105" s="5">
        <f>'Demand Input'!B38</f>
        <v>162175.56299999999</v>
      </c>
      <c r="D105" s="3">
        <f t="shared" ref="D105" si="41">B105/C105</f>
        <v>1.1283880408048901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62</v>
      </c>
      <c r="B106" s="5">
        <f>'Demand Input'!F39</f>
        <v>195285.92512</v>
      </c>
      <c r="C106" s="5">
        <f>'Demand Input'!B39</f>
        <v>207737.90356000001</v>
      </c>
      <c r="D106" s="3">
        <f t="shared" ref="D106" si="42">B106/C106</f>
        <v>0.94005918887881934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65</v>
      </c>
      <c r="B107" s="5">
        <f>'Demand Input'!F40</f>
        <v>125449.09212</v>
      </c>
      <c r="C107" s="5">
        <f>'Demand Input'!B40</f>
        <v>124779.79668000001</v>
      </c>
      <c r="D107" s="3">
        <f t="shared" ref="D107:D108" si="43">B107/C107</f>
        <v>1.0053638125546591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74</v>
      </c>
      <c r="B108" s="5">
        <f>'Demand Input'!F41</f>
        <v>113415.44016000001</v>
      </c>
      <c r="C108" s="5">
        <f>'Demand Input'!B41</f>
        <v>124538.23756000001</v>
      </c>
      <c r="D108" s="3">
        <f t="shared" si="43"/>
        <v>0.9106876922467988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 t="s">
        <v>76</v>
      </c>
      <c r="B109" s="5">
        <f>'Demand Input'!F42</f>
        <v>112550.39312000001</v>
      </c>
      <c r="C109" s="5">
        <f>'Demand Input'!B42</f>
        <v>144510.13676000002</v>
      </c>
      <c r="D109" s="3">
        <f t="shared" ref="D109" si="44">B109/C109</f>
        <v>0.77884081797612426</v>
      </c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 t="s">
        <v>78</v>
      </c>
      <c r="B110" s="5">
        <f>'Demand Input'!F43</f>
        <v>113675.53472000001</v>
      </c>
      <c r="C110" s="5">
        <f>'Demand Input'!B43</f>
        <v>95313.825200000007</v>
      </c>
      <c r="D110" s="3">
        <f t="shared" ref="D110" si="45">B110/C110</f>
        <v>1.1926447656619703</v>
      </c>
      <c r="X110" s="56"/>
      <c r="AA110" s="56"/>
      <c r="AD110" s="56"/>
      <c r="AG110" s="56"/>
      <c r="AJ110" s="56"/>
      <c r="AM110" s="56"/>
      <c r="AP110" s="56"/>
      <c r="AS110" s="56"/>
    </row>
    <row r="111" spans="1:45" s="8" customFormat="1" x14ac:dyDescent="0.45">
      <c r="A111" s="47" t="s">
        <v>48</v>
      </c>
      <c r="B111" s="5">
        <f>'Demand Input'!F44</f>
        <v>139571.10772</v>
      </c>
      <c r="C111" s="5">
        <f>'Demand Input'!B44</f>
        <v>106271.913</v>
      </c>
      <c r="D111" s="3">
        <f t="shared" ref="D111:D112" si="46">B111/C111</f>
        <v>1.3133395624486406</v>
      </c>
      <c r="X111" s="56"/>
      <c r="AA111" s="56"/>
      <c r="AD111" s="56"/>
      <c r="AG111" s="56"/>
      <c r="AJ111" s="56"/>
      <c r="AM111" s="56"/>
      <c r="AP111" s="56"/>
      <c r="AS111" s="56"/>
    </row>
    <row r="112" spans="1:45" s="8" customFormat="1" x14ac:dyDescent="0.45">
      <c r="A112" s="47" t="s">
        <v>111</v>
      </c>
      <c r="B112" s="5">
        <f>'Demand Input'!F45</f>
        <v>175001.20483999999</v>
      </c>
      <c r="C112" s="5">
        <f>'Demand Input'!B45</f>
        <v>134556.17164000002</v>
      </c>
      <c r="D112" s="3">
        <f t="shared" si="46"/>
        <v>1.3005810339804342</v>
      </c>
      <c r="X112" s="56"/>
      <c r="AA112" s="56"/>
      <c r="AD112" s="56"/>
      <c r="AG112" s="56"/>
      <c r="AJ112" s="56"/>
      <c r="AM112" s="56"/>
      <c r="AP112" s="56"/>
      <c r="AS112" s="56"/>
    </row>
    <row r="113" spans="1:45" s="8" customFormat="1" x14ac:dyDescent="0.45">
      <c r="A113" s="47"/>
      <c r="B113" s="5"/>
      <c r="C113" s="5"/>
      <c r="D113" s="3"/>
      <c r="X113" s="56"/>
      <c r="AA113" s="56"/>
      <c r="AD113" s="56"/>
      <c r="AG113" s="56"/>
      <c r="AJ113" s="56"/>
      <c r="AM113" s="56"/>
      <c r="AP113" s="56"/>
      <c r="AS113" s="56"/>
    </row>
    <row r="114" spans="1:45" x14ac:dyDescent="0.45">
      <c r="A114" s="6" t="str">
        <f>"Non-Residential Demand ("&amp;'Demand Input'!$C$8&amp;")"</f>
        <v>Non-Residential Demand (Kgal)</v>
      </c>
    </row>
    <row r="115" spans="1:45" x14ac:dyDescent="0.45">
      <c r="A115" s="1" t="s">
        <v>0</v>
      </c>
      <c r="B115" s="2" t="s">
        <v>66</v>
      </c>
      <c r="C115" s="2" t="s">
        <v>68</v>
      </c>
    </row>
    <row r="116" spans="1:45" x14ac:dyDescent="0.45">
      <c r="A116" s="51">
        <v>43862</v>
      </c>
      <c r="B116" s="5">
        <f>'Demand Input'!G17</f>
        <v>27184.287240000001</v>
      </c>
      <c r="C116" s="5">
        <f>'Demand Input'!C17</f>
        <v>24891.70464</v>
      </c>
      <c r="D116" s="3">
        <f>B116/C116</f>
        <v>1.092102273956598</v>
      </c>
      <c r="E116" s="3"/>
      <c r="F116" s="3"/>
      <c r="I116" s="3"/>
      <c r="L116" s="3"/>
      <c r="O116" s="3"/>
      <c r="R116" s="3"/>
      <c r="U116" s="3"/>
    </row>
    <row r="117" spans="1:45" x14ac:dyDescent="0.45">
      <c r="A117" s="51">
        <v>43891</v>
      </c>
      <c r="B117" s="5">
        <f>'Demand Input'!G18</f>
        <v>52556.783840000004</v>
      </c>
      <c r="C117" s="5">
        <f>'Demand Input'!C18</f>
        <v>42416.79552</v>
      </c>
      <c r="D117" s="3">
        <f t="shared" ref="D117:D123" si="47">B117/C117</f>
        <v>1.2390559728921269</v>
      </c>
      <c r="E117" s="3"/>
      <c r="F117" s="3"/>
      <c r="I117" s="3"/>
      <c r="L117" s="3"/>
      <c r="O117" s="3"/>
      <c r="R117" s="3"/>
      <c r="U117" s="3"/>
    </row>
    <row r="118" spans="1:45" x14ac:dyDescent="0.45">
      <c r="A118" s="51">
        <v>43922</v>
      </c>
      <c r="B118" s="5">
        <f>'Demand Input'!G19</f>
        <v>30008.585640000001</v>
      </c>
      <c r="C118" s="5">
        <f>'Demand Input'!C19</f>
        <v>33427.880640000003</v>
      </c>
      <c r="D118" s="3">
        <f t="shared" si="47"/>
        <v>0.89771128367891639</v>
      </c>
      <c r="E118" s="3"/>
      <c r="F118" s="3"/>
      <c r="I118" s="3"/>
      <c r="L118" s="3"/>
      <c r="O118" s="3"/>
      <c r="R118" s="3"/>
      <c r="U118" s="3"/>
    </row>
    <row r="119" spans="1:45" x14ac:dyDescent="0.45">
      <c r="A119" s="51">
        <v>43952</v>
      </c>
      <c r="B119" s="5">
        <f>'Demand Input'!G20</f>
        <v>21459.484200000003</v>
      </c>
      <c r="C119" s="5">
        <f>'Demand Input'!C20</f>
        <v>26254.44844</v>
      </c>
      <c r="D119" s="3">
        <f t="shared" si="47"/>
        <v>0.81736564563685055</v>
      </c>
      <c r="E119" s="3"/>
      <c r="F119" s="3"/>
      <c r="I119" s="3"/>
      <c r="L119" s="3"/>
      <c r="O119" s="3"/>
      <c r="R119" s="3"/>
      <c r="U119" s="3"/>
    </row>
    <row r="120" spans="1:45" x14ac:dyDescent="0.45">
      <c r="A120" s="51">
        <v>43983</v>
      </c>
      <c r="B120" s="5">
        <f>'Demand Input'!G21</f>
        <v>47687.401080000003</v>
      </c>
      <c r="C120" s="5">
        <f>'Demand Input'!C21</f>
        <v>33248.873200000002</v>
      </c>
      <c r="D120" s="3">
        <f t="shared" si="47"/>
        <v>1.4342561563860756</v>
      </c>
      <c r="E120" s="3"/>
      <c r="F120" s="3"/>
      <c r="I120" s="3"/>
      <c r="L120" s="3"/>
      <c r="O120" s="3"/>
      <c r="R120" s="3"/>
      <c r="U120" s="3"/>
    </row>
    <row r="121" spans="1:45" x14ac:dyDescent="0.45">
      <c r="A121" s="51">
        <v>44013</v>
      </c>
      <c r="B121" s="5">
        <f>'Demand Input'!G22</f>
        <v>33702.69584</v>
      </c>
      <c r="C121" s="5">
        <f>'Demand Input'!C22</f>
        <v>42679.937520000007</v>
      </c>
      <c r="D121" s="3">
        <f t="shared" si="47"/>
        <v>0.78966132094750063</v>
      </c>
      <c r="E121" s="3"/>
      <c r="F121" s="3"/>
      <c r="I121" s="3"/>
      <c r="L121" s="3"/>
      <c r="O121" s="3"/>
      <c r="R121" s="3"/>
      <c r="U121" s="3"/>
    </row>
    <row r="122" spans="1:45" x14ac:dyDescent="0.45">
      <c r="A122" s="51">
        <v>44044</v>
      </c>
      <c r="B122" s="5">
        <f>'Demand Input'!G23</f>
        <v>30630.764560000003</v>
      </c>
      <c r="C122" s="5">
        <f>'Demand Input'!C23</f>
        <v>34036.498319999999</v>
      </c>
      <c r="D122" s="3">
        <f t="shared" si="47"/>
        <v>0.89993877372518161</v>
      </c>
      <c r="E122" s="3"/>
      <c r="F122" s="3"/>
      <c r="I122" s="3"/>
      <c r="L122" s="3"/>
      <c r="O122" s="3"/>
      <c r="R122" s="3"/>
      <c r="U122" s="3"/>
    </row>
    <row r="123" spans="1:45" x14ac:dyDescent="0.45">
      <c r="A123" s="51">
        <v>44075</v>
      </c>
      <c r="B123" s="5">
        <f>'Demand Input'!G24</f>
        <v>87939.966400000005</v>
      </c>
      <c r="C123" s="5">
        <f>'Demand Input'!C24</f>
        <v>86367.775120000006</v>
      </c>
      <c r="D123" s="3">
        <f t="shared" si="47"/>
        <v>1.0182034477305406</v>
      </c>
    </row>
    <row r="124" spans="1:45" s="8" customFormat="1" x14ac:dyDescent="0.45">
      <c r="A124" s="51">
        <v>44105</v>
      </c>
      <c r="B124" s="5">
        <f>'Demand Input'!G25</f>
        <v>51017.646679999998</v>
      </c>
      <c r="C124" s="5">
        <f>'Demand Input'!C25</f>
        <v>49561.754440000004</v>
      </c>
      <c r="D124" s="3">
        <f t="shared" ref="D124:D126" si="48">B124/C124</f>
        <v>1.0293753168436059</v>
      </c>
      <c r="E124" s="4"/>
      <c r="F124" s="4"/>
      <c r="I124" s="4"/>
      <c r="L124" s="4"/>
      <c r="O124" s="4"/>
      <c r="R124" s="4"/>
      <c r="U124" s="4"/>
      <c r="X124" s="56"/>
      <c r="AA124" s="56"/>
      <c r="AD124" s="56"/>
      <c r="AG124" s="56"/>
      <c r="AJ124" s="56"/>
      <c r="AM124" s="56"/>
      <c r="AP124" s="56"/>
      <c r="AS124" s="56"/>
    </row>
    <row r="125" spans="1:45" s="8" customFormat="1" x14ac:dyDescent="0.45">
      <c r="A125" s="51">
        <v>44136</v>
      </c>
      <c r="B125" s="5">
        <f>'Demand Input'!G26</f>
        <v>38090.246920000005</v>
      </c>
      <c r="C125" s="5">
        <f>'Demand Input'!C26</f>
        <v>32261.419520000003</v>
      </c>
      <c r="D125" s="3">
        <f t="shared" si="48"/>
        <v>1.1806748582896827</v>
      </c>
      <c r="E125" s="4"/>
      <c r="F125" s="4"/>
      <c r="I125" s="4"/>
      <c r="L125" s="4"/>
      <c r="O125" s="4"/>
      <c r="R125" s="4"/>
      <c r="U125" s="4"/>
      <c r="X125" s="56"/>
      <c r="AA125" s="56"/>
      <c r="AD125" s="56"/>
      <c r="AG125" s="56"/>
      <c r="AJ125" s="56"/>
      <c r="AM125" s="56"/>
      <c r="AP125" s="56"/>
      <c r="AS125" s="56"/>
    </row>
    <row r="126" spans="1:45" s="8" customFormat="1" x14ac:dyDescent="0.45">
      <c r="A126" s="51">
        <v>44166</v>
      </c>
      <c r="B126" s="5">
        <f>'Demand Input'!G27</f>
        <v>72201.814520000014</v>
      </c>
      <c r="C126" s="5">
        <f>'Demand Input'!C27</f>
        <v>66164.871080000012</v>
      </c>
      <c r="D126" s="3">
        <f t="shared" si="48"/>
        <v>1.0912409159340872</v>
      </c>
      <c r="E126" s="4"/>
      <c r="F126" s="4"/>
      <c r="I126" s="4"/>
      <c r="L126" s="4"/>
      <c r="O126" s="4"/>
      <c r="R126" s="4"/>
      <c r="U126" s="4"/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51">
        <v>44197</v>
      </c>
      <c r="B127" s="5">
        <f>'Demand Input'!G28</f>
        <v>32645.300600000002</v>
      </c>
      <c r="C127" s="5">
        <f>'Demand Input'!C28</f>
        <v>38851.995160000006</v>
      </c>
      <c r="D127" s="3">
        <f t="shared" ref="D127" si="49">B127/C127</f>
        <v>0.84024772641817647</v>
      </c>
      <c r="E127" s="4"/>
      <c r="F127" s="4"/>
      <c r="I127" s="4"/>
      <c r="L127" s="4"/>
      <c r="O127" s="4"/>
      <c r="R127" s="4"/>
      <c r="U127" s="4"/>
      <c r="X127" s="56"/>
      <c r="AA127" s="56"/>
      <c r="AD127" s="56"/>
      <c r="AG127" s="56"/>
      <c r="AJ127" s="56"/>
      <c r="AM127" s="56"/>
      <c r="AP127" s="56"/>
      <c r="AS127" s="56"/>
    </row>
    <row r="128" spans="1:45" x14ac:dyDescent="0.45">
      <c r="A128" s="51">
        <v>44228</v>
      </c>
      <c r="B128" s="5">
        <f>'Demand Input'!G29</f>
        <v>32987.652720000006</v>
      </c>
      <c r="C128" s="5">
        <f>'Demand Input'!C29</f>
        <v>27184.287240000001</v>
      </c>
      <c r="D128" s="3">
        <f t="shared" ref="D128" si="50">B128/C128</f>
        <v>1.2134823484156212</v>
      </c>
    </row>
    <row r="129" spans="1:45" s="8" customFormat="1" x14ac:dyDescent="0.45">
      <c r="A129" s="51">
        <v>44256</v>
      </c>
      <c r="B129" s="5">
        <f>'Demand Input'!G30</f>
        <v>37296.185080000003</v>
      </c>
      <c r="C129" s="5">
        <f>'Demand Input'!C30</f>
        <v>52556.783840000004</v>
      </c>
      <c r="D129" s="3">
        <f t="shared" ref="D129" si="51">B129/C129</f>
        <v>0.70963598521442561</v>
      </c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51">
        <v>44287</v>
      </c>
      <c r="B130" s="5">
        <f>'Demand Input'!G31</f>
        <v>52983.592640000003</v>
      </c>
      <c r="C130" s="5">
        <f>'Demand Input'!C31</f>
        <v>30008.585640000001</v>
      </c>
      <c r="D130" s="3">
        <f t="shared" ref="D130" si="52">B130/C130</f>
        <v>1.7656144569964478</v>
      </c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47" t="s">
        <v>48</v>
      </c>
      <c r="B131" s="5">
        <f>'Demand Input'!G32</f>
        <v>30657.737440000001</v>
      </c>
      <c r="C131" s="5">
        <f>'Demand Input'!C32</f>
        <v>21459.484200000003</v>
      </c>
      <c r="D131" s="3">
        <f t="shared" ref="D131:D132" si="53">B131/C131</f>
        <v>1.4286334729331471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47" t="s">
        <v>49</v>
      </c>
      <c r="B132" s="5">
        <f>'Demand Input'!G33</f>
        <v>25485.257600000001</v>
      </c>
      <c r="C132" s="5">
        <f>'Demand Input'!C33</f>
        <v>47687.401080000003</v>
      </c>
      <c r="D132" s="3">
        <f t="shared" si="53"/>
        <v>0.53442328629413327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52</v>
      </c>
      <c r="B133" s="5">
        <f>'Demand Input'!G34</f>
        <v>43493.567040000002</v>
      </c>
      <c r="C133" s="5">
        <f>'Demand Input'!C34</f>
        <v>33702.69584</v>
      </c>
      <c r="D133" s="3">
        <f t="shared" ref="D133" si="54">B133/C133</f>
        <v>1.2905070634848064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54</v>
      </c>
      <c r="B134" s="5">
        <f>'Demand Input'!G35</f>
        <v>53305.831040000005</v>
      </c>
      <c r="C134" s="5">
        <f>'Demand Input'!C35</f>
        <v>30630.764560000003</v>
      </c>
      <c r="D134" s="3">
        <f t="shared" ref="D134" si="55">B134/C134</f>
        <v>1.7402709924391127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57</v>
      </c>
      <c r="B135" s="5">
        <f>'Demand Input'!G36</f>
        <v>93442.493760000012</v>
      </c>
      <c r="C135" s="5">
        <f>'Demand Input'!C36</f>
        <v>87939.966400000005</v>
      </c>
      <c r="D135" s="3">
        <f t="shared" ref="D135" si="56">B135/C135</f>
        <v>1.0625714062133189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58</v>
      </c>
      <c r="B136" s="5">
        <f>'Demand Input'!G37</f>
        <v>45586.979679999997</v>
      </c>
      <c r="C136" s="5">
        <f>'Demand Input'!C37</f>
        <v>51017.646679999998</v>
      </c>
      <c r="D136" s="3">
        <f t="shared" ref="D136" si="57">B136/C136</f>
        <v>0.89355316535741081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60</v>
      </c>
      <c r="B137" s="5">
        <f>'Demand Input'!G38</f>
        <v>41019.482240000005</v>
      </c>
      <c r="C137" s="5">
        <f>'Demand Input'!C38</f>
        <v>38090.246920000005</v>
      </c>
      <c r="D137" s="3">
        <f t="shared" ref="D137" si="58">B137/C137</f>
        <v>1.0769025027890262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62</v>
      </c>
      <c r="B138" s="5">
        <f>'Demand Input'!G39</f>
        <v>55350.474080000007</v>
      </c>
      <c r="C138" s="5">
        <f>'Demand Input'!C39</f>
        <v>72201.814520000014</v>
      </c>
      <c r="D138" s="3">
        <f t="shared" ref="D138" si="59">B138/C138</f>
        <v>0.76660779854317707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65</v>
      </c>
      <c r="B139" s="5">
        <f>'Demand Input'!G40</f>
        <v>28832.602480000001</v>
      </c>
      <c r="C139" s="5">
        <f>'Demand Input'!C40</f>
        <v>32645.300600000002</v>
      </c>
      <c r="D139" s="3">
        <f t="shared" ref="D139:D140" si="60">B139/C139</f>
        <v>0.88320836230866251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 t="s">
        <v>74</v>
      </c>
      <c r="B140" s="5">
        <f>'Demand Input'!G41</f>
        <v>27305.762440000002</v>
      </c>
      <c r="C140" s="5">
        <f>'Demand Input'!C41</f>
        <v>32987.652720000006</v>
      </c>
      <c r="D140" s="3">
        <f t="shared" si="60"/>
        <v>0.82775706024832907</v>
      </c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 t="s">
        <v>76</v>
      </c>
      <c r="B141" s="5">
        <f>'Demand Input'!G42</f>
        <v>43384.037400000008</v>
      </c>
      <c r="C141" s="5">
        <f>'Demand Input'!C42</f>
        <v>37296.185080000003</v>
      </c>
      <c r="D141" s="3">
        <f t="shared" ref="D141" si="61">B141/C141</f>
        <v>1.1632298935384842</v>
      </c>
      <c r="X141" s="56"/>
      <c r="AA141" s="56"/>
      <c r="AD141" s="56"/>
      <c r="AG141" s="56"/>
      <c r="AJ141" s="56"/>
      <c r="AM141" s="56"/>
      <c r="AP141" s="56"/>
      <c r="AS141" s="56"/>
    </row>
    <row r="142" spans="1:45" s="8" customFormat="1" x14ac:dyDescent="0.45">
      <c r="A142" s="47" t="s">
        <v>78</v>
      </c>
      <c r="B142" s="5">
        <f>'Demand Input'!G43</f>
        <v>34485.290840000001</v>
      </c>
      <c r="C142" s="5">
        <f>'Demand Input'!C43</f>
        <v>52983.592640000003</v>
      </c>
      <c r="D142" s="3">
        <f t="shared" ref="D142" si="62">B142/C142</f>
        <v>0.65086735575505894</v>
      </c>
      <c r="X142" s="56"/>
      <c r="AA142" s="56"/>
      <c r="AD142" s="56"/>
      <c r="AG142" s="56"/>
      <c r="AJ142" s="56"/>
      <c r="AM142" s="56"/>
      <c r="AP142" s="56"/>
      <c r="AS142" s="56"/>
    </row>
    <row r="143" spans="1:45" s="8" customFormat="1" x14ac:dyDescent="0.45">
      <c r="A143" s="47" t="s">
        <v>48</v>
      </c>
      <c r="B143" s="5">
        <f>'Demand Input'!G44</f>
        <v>43618.864520000003</v>
      </c>
      <c r="C143" s="5">
        <f>'Demand Input'!C44</f>
        <v>30657.737440000001</v>
      </c>
      <c r="D143" s="3">
        <f t="shared" ref="D143:D144" si="63">B143/C143</f>
        <v>1.4227685459622099</v>
      </c>
      <c r="X143" s="56"/>
      <c r="AA143" s="56"/>
      <c r="AD143" s="56"/>
      <c r="AG143" s="56"/>
      <c r="AJ143" s="56"/>
      <c r="AM143" s="56"/>
      <c r="AP143" s="56"/>
      <c r="AS143" s="56"/>
    </row>
    <row r="144" spans="1:45" s="8" customFormat="1" x14ac:dyDescent="0.45">
      <c r="A144" s="47" t="s">
        <v>111</v>
      </c>
      <c r="B144" s="5">
        <f>'Demand Input'!G45</f>
        <v>47925.220200000003</v>
      </c>
      <c r="C144" s="5">
        <f>'Demand Input'!C45</f>
        <v>25485.257600000001</v>
      </c>
      <c r="D144" s="3">
        <f t="shared" si="63"/>
        <v>1.8805075841179648</v>
      </c>
      <c r="X144" s="56"/>
      <c r="AA144" s="56"/>
      <c r="AD144" s="56"/>
      <c r="AG144" s="56"/>
      <c r="AJ144" s="56"/>
      <c r="AM144" s="56"/>
      <c r="AP144" s="56"/>
      <c r="AS144" s="56"/>
    </row>
    <row r="145" spans="1:45" s="8" customFormat="1" x14ac:dyDescent="0.45">
      <c r="A145" s="47"/>
      <c r="B145" s="5"/>
      <c r="C145" s="5"/>
      <c r="D145" s="3"/>
      <c r="X145" s="56"/>
      <c r="AA145" s="56"/>
      <c r="AD145" s="56"/>
      <c r="AG145" s="56"/>
      <c r="AJ145" s="56"/>
      <c r="AM145" s="56"/>
      <c r="AP145" s="56"/>
      <c r="AS145" s="56"/>
    </row>
    <row r="146" spans="1:45" x14ac:dyDescent="0.45">
      <c r="A146" s="6" t="str">
        <f>"Wholesale Demand ("&amp;'Demand Input'!$C$8&amp;")"</f>
        <v>Wholesale Demand (Kgal)</v>
      </c>
    </row>
    <row r="147" spans="1:45" x14ac:dyDescent="0.45">
      <c r="A147" s="1" t="s">
        <v>0</v>
      </c>
      <c r="B147" s="2" t="s">
        <v>66</v>
      </c>
      <c r="C147" s="2" t="s">
        <v>68</v>
      </c>
    </row>
    <row r="148" spans="1:45" x14ac:dyDescent="0.45">
      <c r="A148" s="51">
        <v>43862</v>
      </c>
      <c r="B148" s="5">
        <f>'Demand Input'!H17</f>
        <v>0</v>
      </c>
      <c r="C148" s="5">
        <f>'Demand Input'!D17</f>
        <v>0</v>
      </c>
      <c r="D148" s="3" t="e">
        <f>B148/C148</f>
        <v>#DIV/0!</v>
      </c>
      <c r="E148" s="3"/>
      <c r="F148" s="3"/>
      <c r="I148" s="3"/>
      <c r="L148" s="3"/>
      <c r="O148" s="3"/>
      <c r="R148" s="3"/>
      <c r="U148" s="3"/>
    </row>
    <row r="149" spans="1:45" x14ac:dyDescent="0.45">
      <c r="A149" s="51">
        <v>43891</v>
      </c>
      <c r="B149" s="5">
        <f>'Demand Input'!H18</f>
        <v>21965.02</v>
      </c>
      <c r="C149" s="5">
        <f>'Demand Input'!D18</f>
        <v>14013.78</v>
      </c>
      <c r="D149" s="3">
        <f t="shared" ref="D149:D155" si="64">B149/C149</f>
        <v>1.5673872431278355</v>
      </c>
      <c r="E149" s="3"/>
      <c r="F149" s="3"/>
      <c r="I149" s="3"/>
      <c r="L149" s="3"/>
      <c r="O149" s="3"/>
      <c r="R149" s="3"/>
      <c r="U149" s="3"/>
    </row>
    <row r="150" spans="1:45" x14ac:dyDescent="0.45">
      <c r="A150" s="51">
        <v>43922</v>
      </c>
      <c r="B150" s="5">
        <f>'Demand Input'!H19</f>
        <v>0</v>
      </c>
      <c r="C150" s="5">
        <f>'Demand Input'!D19</f>
        <v>0</v>
      </c>
      <c r="D150" s="3" t="e">
        <f t="shared" si="64"/>
        <v>#DIV/0!</v>
      </c>
      <c r="E150" s="3"/>
      <c r="F150" s="3"/>
      <c r="I150" s="3"/>
      <c r="L150" s="3"/>
      <c r="O150" s="3"/>
      <c r="R150" s="3"/>
      <c r="U150" s="3"/>
    </row>
    <row r="151" spans="1:45" x14ac:dyDescent="0.45">
      <c r="A151" s="51">
        <v>43952</v>
      </c>
      <c r="B151" s="5">
        <f>'Demand Input'!H20</f>
        <v>0</v>
      </c>
      <c r="C151" s="5">
        <f>'Demand Input'!D20</f>
        <v>0</v>
      </c>
      <c r="D151" s="3" t="e">
        <f t="shared" si="64"/>
        <v>#DIV/0!</v>
      </c>
      <c r="E151" s="3"/>
      <c r="F151" s="3"/>
      <c r="I151" s="3"/>
      <c r="L151" s="3"/>
      <c r="O151" s="3"/>
      <c r="R151" s="3"/>
      <c r="U151" s="3"/>
    </row>
    <row r="152" spans="1:45" x14ac:dyDescent="0.45">
      <c r="A152" s="51">
        <v>43983</v>
      </c>
      <c r="B152" s="5">
        <f>'Demand Input'!H21</f>
        <v>27331</v>
      </c>
      <c r="C152" s="5">
        <f>'Demand Input'!D21</f>
        <v>30443.599999999999</v>
      </c>
      <c r="D152" s="3">
        <f t="shared" si="64"/>
        <v>0.89775847797238173</v>
      </c>
      <c r="E152" s="3"/>
      <c r="F152" s="3"/>
      <c r="I152" s="3"/>
      <c r="L152" s="3"/>
      <c r="O152" s="3"/>
      <c r="R152" s="3"/>
      <c r="U152" s="3"/>
    </row>
    <row r="153" spans="1:45" x14ac:dyDescent="0.45">
      <c r="A153" s="51">
        <v>44013</v>
      </c>
      <c r="B153" s="5">
        <f>'Demand Input'!H22</f>
        <v>0</v>
      </c>
      <c r="C153" s="5">
        <f>'Demand Input'!D22</f>
        <v>0</v>
      </c>
      <c r="D153" s="3" t="e">
        <f t="shared" si="64"/>
        <v>#DIV/0!</v>
      </c>
      <c r="E153" s="3"/>
      <c r="F153" s="3"/>
      <c r="I153" s="3"/>
      <c r="L153" s="3"/>
      <c r="O153" s="3"/>
      <c r="R153" s="3"/>
      <c r="U153" s="3"/>
    </row>
    <row r="154" spans="1:45" x14ac:dyDescent="0.45">
      <c r="A154" s="51">
        <v>44044</v>
      </c>
      <c r="B154" s="5">
        <f>'Demand Input'!H23</f>
        <v>0</v>
      </c>
      <c r="C154" s="5">
        <f>'Demand Input'!D23</f>
        <v>0</v>
      </c>
      <c r="D154" s="3" t="e">
        <f t="shared" si="64"/>
        <v>#DIV/0!</v>
      </c>
      <c r="E154" s="3"/>
      <c r="F154" s="3"/>
      <c r="I154" s="3"/>
      <c r="L154" s="3"/>
      <c r="O154" s="3"/>
      <c r="R154" s="3"/>
      <c r="U154" s="3"/>
    </row>
    <row r="155" spans="1:45" x14ac:dyDescent="0.45">
      <c r="A155" s="51">
        <v>44075</v>
      </c>
      <c r="B155" s="5">
        <f>'Demand Input'!H24</f>
        <v>50400.24</v>
      </c>
      <c r="C155" s="5">
        <f>'Demand Input'!D24</f>
        <v>38376.14</v>
      </c>
      <c r="D155" s="3">
        <f t="shared" si="64"/>
        <v>1.3133222882759965</v>
      </c>
    </row>
    <row r="156" spans="1:45" s="8" customFormat="1" x14ac:dyDescent="0.45">
      <c r="A156" s="51">
        <v>44105</v>
      </c>
      <c r="B156" s="5">
        <f>'Demand Input'!H25</f>
        <v>0</v>
      </c>
      <c r="C156" s="5">
        <f>'Demand Input'!D25</f>
        <v>0</v>
      </c>
      <c r="D156" s="3" t="e">
        <f t="shared" ref="D156:D158" si="65">B156/C156</f>
        <v>#DIV/0!</v>
      </c>
      <c r="E156" s="4"/>
      <c r="F156" s="4"/>
      <c r="I156" s="4"/>
      <c r="L156" s="4"/>
      <c r="O156" s="4"/>
      <c r="R156" s="4"/>
      <c r="U156" s="4"/>
      <c r="X156" s="56"/>
      <c r="AA156" s="56"/>
      <c r="AD156" s="56"/>
      <c r="AG156" s="56"/>
      <c r="AJ156" s="56"/>
      <c r="AM156" s="56"/>
      <c r="AP156" s="56"/>
      <c r="AS156" s="56"/>
    </row>
    <row r="157" spans="1:45" s="8" customFormat="1" x14ac:dyDescent="0.45">
      <c r="A157" s="51">
        <v>44136</v>
      </c>
      <c r="B157" s="5">
        <f>'Demand Input'!H26</f>
        <v>0</v>
      </c>
      <c r="C157" s="5">
        <f>'Demand Input'!D26</f>
        <v>0</v>
      </c>
      <c r="D157" s="3" t="e">
        <f t="shared" si="65"/>
        <v>#DIV/0!</v>
      </c>
      <c r="E157" s="4"/>
      <c r="F157" s="4"/>
      <c r="I157" s="4"/>
      <c r="L157" s="4"/>
      <c r="O157" s="4"/>
      <c r="R157" s="4"/>
      <c r="U157" s="4"/>
      <c r="X157" s="56"/>
      <c r="AA157" s="56"/>
      <c r="AD157" s="56"/>
      <c r="AG157" s="56"/>
      <c r="AJ157" s="56"/>
      <c r="AM157" s="56"/>
      <c r="AP157" s="56"/>
      <c r="AS157" s="56"/>
    </row>
    <row r="158" spans="1:45" s="8" customFormat="1" x14ac:dyDescent="0.45">
      <c r="A158" s="51">
        <v>44166</v>
      </c>
      <c r="B158" s="5">
        <f>'Demand Input'!H27</f>
        <v>30611.9</v>
      </c>
      <c r="C158" s="5">
        <f>'Demand Input'!D27</f>
        <v>24784.98</v>
      </c>
      <c r="D158" s="3">
        <f t="shared" si="65"/>
        <v>1.2350988380866155</v>
      </c>
      <c r="E158" s="4"/>
      <c r="F158" s="4"/>
      <c r="I158" s="4"/>
      <c r="L158" s="4"/>
      <c r="O158" s="4"/>
      <c r="R158" s="4"/>
      <c r="U158" s="4"/>
      <c r="X158" s="56"/>
      <c r="AA158" s="56"/>
      <c r="AD158" s="56"/>
      <c r="AG158" s="56"/>
      <c r="AJ158" s="56"/>
      <c r="AM158" s="56"/>
      <c r="AP158" s="56"/>
      <c r="AS158" s="56"/>
    </row>
    <row r="159" spans="1:45" x14ac:dyDescent="0.45">
      <c r="A159" s="51">
        <v>44197</v>
      </c>
      <c r="B159" s="5">
        <f>'Demand Input'!H28</f>
        <v>0</v>
      </c>
      <c r="C159" s="5">
        <f>'Demand Input'!D28</f>
        <v>0</v>
      </c>
      <c r="D159" s="3" t="e">
        <f t="shared" ref="D159" si="66">B159/C159</f>
        <v>#DIV/0!</v>
      </c>
    </row>
    <row r="160" spans="1:45" x14ac:dyDescent="0.45">
      <c r="A160" s="51">
        <v>44228</v>
      </c>
      <c r="B160" s="5">
        <f>'Demand Input'!H29</f>
        <v>0</v>
      </c>
      <c r="C160" s="5">
        <f>'Demand Input'!D29</f>
        <v>0</v>
      </c>
      <c r="D160" s="3" t="e">
        <f t="shared" ref="D160:D161" si="67">B160/C160</f>
        <v>#DIV/0!</v>
      </c>
    </row>
    <row r="161" spans="1:45" x14ac:dyDescent="0.45">
      <c r="A161" s="51">
        <v>44256</v>
      </c>
      <c r="B161" s="5">
        <f>'Demand Input'!H30</f>
        <v>30196.76</v>
      </c>
      <c r="C161" s="5">
        <f>'Demand Input'!D30</f>
        <v>21965.02</v>
      </c>
      <c r="D161" s="3">
        <f t="shared" si="67"/>
        <v>1.3747658777456155</v>
      </c>
    </row>
    <row r="162" spans="1:45" x14ac:dyDescent="0.45">
      <c r="A162" s="51">
        <v>44287</v>
      </c>
      <c r="B162" s="5">
        <f>'Demand Input'!H31</f>
        <v>0</v>
      </c>
      <c r="C162" s="5">
        <f>'Demand Input'!D31</f>
        <v>0</v>
      </c>
      <c r="D162" s="3" t="e">
        <f t="shared" ref="D162" si="68">B162/C162</f>
        <v>#DIV/0!</v>
      </c>
    </row>
    <row r="163" spans="1:45" x14ac:dyDescent="0.45">
      <c r="A163" t="s">
        <v>48</v>
      </c>
      <c r="B163" s="5">
        <f>'Demand Input'!H32</f>
        <v>0</v>
      </c>
      <c r="C163" s="5">
        <f>'Demand Input'!D32</f>
        <v>0</v>
      </c>
      <c r="D163" s="3" t="e">
        <f t="shared" ref="D163:D164" si="69">B163/C163</f>
        <v>#DIV/0!</v>
      </c>
    </row>
    <row r="164" spans="1:45" x14ac:dyDescent="0.45">
      <c r="A164" t="s">
        <v>49</v>
      </c>
      <c r="B164" s="5">
        <f>'Demand Input'!H33</f>
        <v>27993.9</v>
      </c>
      <c r="C164" s="5">
        <f>'Demand Input'!D33</f>
        <v>27331</v>
      </c>
      <c r="D164" s="3">
        <f t="shared" si="69"/>
        <v>1.0242545095313016</v>
      </c>
    </row>
    <row r="165" spans="1:45" x14ac:dyDescent="0.45">
      <c r="A165" s="8" t="s">
        <v>52</v>
      </c>
      <c r="B165" s="5">
        <f>'Demand Input'!H34</f>
        <v>0</v>
      </c>
      <c r="C165" s="5">
        <f>'Demand Input'!D34</f>
        <v>0</v>
      </c>
      <c r="D165" s="3" t="e">
        <f t="shared" ref="D165" si="70">B165/C165</f>
        <v>#DIV/0!</v>
      </c>
    </row>
    <row r="166" spans="1:45" x14ac:dyDescent="0.45">
      <c r="A166" s="8" t="s">
        <v>54</v>
      </c>
      <c r="B166" s="5">
        <f>'Demand Input'!H35</f>
        <v>11056.179</v>
      </c>
      <c r="C166" s="5">
        <f>'Demand Input'!D35</f>
        <v>0</v>
      </c>
      <c r="D166" s="3" t="e">
        <f t="shared" ref="D166" si="71">B166/C166</f>
        <v>#DIV/0!</v>
      </c>
    </row>
    <row r="167" spans="1:45" x14ac:dyDescent="0.45">
      <c r="A167" s="8" t="s">
        <v>57</v>
      </c>
      <c r="B167" s="5">
        <f>'Demand Input'!H36</f>
        <v>16202.763000000001</v>
      </c>
      <c r="C167" s="5">
        <f>'Demand Input'!D36</f>
        <v>50400.24</v>
      </c>
      <c r="D167" s="3">
        <f t="shared" ref="D167" si="72">B167/C167</f>
        <v>0.32148186199113338</v>
      </c>
    </row>
    <row r="168" spans="1:45" x14ac:dyDescent="0.45">
      <c r="A168" s="8" t="s">
        <v>58</v>
      </c>
      <c r="B168" s="5">
        <f>'Demand Input'!H37</f>
        <v>9585.6200000000008</v>
      </c>
      <c r="C168" s="5">
        <f>'Demand Input'!D37</f>
        <v>0</v>
      </c>
      <c r="D168" s="3" t="e">
        <f t="shared" ref="D168" si="73">B168/C168</f>
        <v>#DIV/0!</v>
      </c>
    </row>
    <row r="169" spans="1:45" x14ac:dyDescent="0.45">
      <c r="A169" s="8" t="s">
        <v>60</v>
      </c>
      <c r="B169" s="5">
        <f>'Demand Input'!H38</f>
        <v>6754.44</v>
      </c>
      <c r="C169" s="5">
        <f>'Demand Input'!D38</f>
        <v>0</v>
      </c>
      <c r="D169" s="3" t="e">
        <f t="shared" ref="D169" si="74">B169/C169</f>
        <v>#DIV/0!</v>
      </c>
    </row>
    <row r="170" spans="1:45" x14ac:dyDescent="0.45">
      <c r="A170" s="8" t="s">
        <v>62</v>
      </c>
      <c r="B170" s="5">
        <f>'Demand Input'!H39</f>
        <v>7547.32</v>
      </c>
      <c r="C170" s="5">
        <f>'Demand Input'!D39</f>
        <v>30611.9</v>
      </c>
      <c r="D170" s="3">
        <f t="shared" ref="D170" si="75">B170/C170</f>
        <v>0.24654856444715942</v>
      </c>
    </row>
    <row r="171" spans="1:45" x14ac:dyDescent="0.45">
      <c r="A171" t="s">
        <v>65</v>
      </c>
      <c r="B171" s="5">
        <f>'Demand Input'!H40</f>
        <v>5643.66</v>
      </c>
      <c r="C171" s="5">
        <f>'Demand Input'!D40</f>
        <v>0</v>
      </c>
      <c r="D171" s="3" t="e">
        <f t="shared" ref="D171:D172" si="76">B171/C171</f>
        <v>#DIV/0!</v>
      </c>
    </row>
    <row r="172" spans="1:45" s="8" customFormat="1" x14ac:dyDescent="0.45">
      <c r="A172" s="8" t="s">
        <v>74</v>
      </c>
      <c r="B172" s="5">
        <f>'Demand Input'!H41</f>
        <v>6907.78</v>
      </c>
      <c r="C172" s="5">
        <f>'Demand Input'!D41</f>
        <v>0</v>
      </c>
      <c r="D172" s="3" t="e">
        <f t="shared" si="76"/>
        <v>#DIV/0!</v>
      </c>
      <c r="X172" s="56"/>
      <c r="AA172" s="56"/>
      <c r="AD172" s="56"/>
      <c r="AG172" s="56"/>
      <c r="AJ172" s="56"/>
      <c r="AM172" s="56"/>
      <c r="AP172" s="56"/>
      <c r="AS172" s="56"/>
    </row>
    <row r="173" spans="1:45" x14ac:dyDescent="0.45">
      <c r="A173" s="8" t="s">
        <v>76</v>
      </c>
      <c r="B173" s="5">
        <f>'Demand Input'!H42</f>
        <v>6111.16</v>
      </c>
      <c r="C173" s="5">
        <f>'Demand Input'!D42</f>
        <v>30196.76</v>
      </c>
      <c r="D173" s="3">
        <f t="shared" ref="D173" si="77">B173/C173</f>
        <v>0.20237800346792173</v>
      </c>
    </row>
    <row r="174" spans="1:45" x14ac:dyDescent="0.45">
      <c r="A174" s="8" t="s">
        <v>78</v>
      </c>
      <c r="B174" s="5">
        <f>'Demand Input'!H43</f>
        <v>5707.24</v>
      </c>
      <c r="C174" s="5">
        <f>'Demand Input'!D43</f>
        <v>0</v>
      </c>
      <c r="D174" s="3" t="e">
        <f t="shared" ref="D174" si="78">B174/C174</f>
        <v>#DIV/0!</v>
      </c>
    </row>
    <row r="175" spans="1:45" x14ac:dyDescent="0.45">
      <c r="A175" t="s">
        <v>48</v>
      </c>
      <c r="B175" s="5">
        <f>'Demand Input'!H44</f>
        <v>6522.56</v>
      </c>
      <c r="C175" s="5">
        <f>'Demand Input'!D44</f>
        <v>0</v>
      </c>
      <c r="D175" s="3" t="e">
        <f t="shared" ref="D175:D176" si="79">B175/C175</f>
        <v>#DIV/0!</v>
      </c>
    </row>
    <row r="176" spans="1:45" x14ac:dyDescent="0.45">
      <c r="A176" s="8" t="s">
        <v>111</v>
      </c>
      <c r="B176" s="5">
        <f>'Demand Input'!H45</f>
        <v>8549.64</v>
      </c>
      <c r="C176" s="5">
        <f>'Demand Input'!D45</f>
        <v>27993.9</v>
      </c>
      <c r="D176" s="3">
        <f t="shared" si="79"/>
        <v>0.30541082164328653</v>
      </c>
    </row>
  </sheetData>
  <mergeCells count="68">
    <mergeCell ref="CJ28:CK28"/>
    <mergeCell ref="CJ34:CK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CG34:CH34"/>
    <mergeCell ref="B30:C30"/>
    <mergeCell ref="B31:C31"/>
    <mergeCell ref="B32:C32"/>
    <mergeCell ref="B33:C33"/>
    <mergeCell ref="B34:C34"/>
    <mergeCell ref="M28:N28"/>
    <mergeCell ref="S28:T28"/>
    <mergeCell ref="BI28:BJ28"/>
    <mergeCell ref="BC28:BD28"/>
    <mergeCell ref="CG28:CH28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W34:AX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AQ28:AR28"/>
    <mergeCell ref="Y28:Z28"/>
    <mergeCell ref="CD28:CE28"/>
    <mergeCell ref="CD34:CE34"/>
    <mergeCell ref="D28:E28"/>
    <mergeCell ref="G28:H28"/>
    <mergeCell ref="AN34:AO34"/>
    <mergeCell ref="AK34:AL34"/>
    <mergeCell ref="AH34:AI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J28:K28"/>
  </mergeCells>
  <phoneticPr fontId="19" type="noConversion"/>
  <pageMargins left="0.25" right="0.25" top="0.75" bottom="0.75" header="0.3" footer="0.3"/>
  <pageSetup scale="20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86"/>
  <sheetViews>
    <sheetView showGridLines="0" topLeftCell="A52" zoomScaleNormal="100" workbookViewId="0">
      <selection activeCell="F80" sqref="F80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81" t="s">
        <v>10</v>
      </c>
      <c r="B1" s="82"/>
      <c r="C1" s="82"/>
      <c r="D1" s="82"/>
      <c r="E1" s="82"/>
      <c r="F1" s="82"/>
      <c r="G1" s="82"/>
      <c r="H1" s="8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2"/>
      <c r="B2" s="82"/>
      <c r="C2" s="82"/>
      <c r="D2" s="82"/>
      <c r="E2" s="82"/>
      <c r="F2" s="82"/>
      <c r="G2" s="82"/>
      <c r="H2" s="8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2"/>
      <c r="B3" s="82"/>
      <c r="C3" s="82"/>
      <c r="D3" s="82"/>
      <c r="E3" s="82"/>
      <c r="F3" s="82"/>
      <c r="G3" s="82"/>
      <c r="H3" s="8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2"/>
      <c r="B4" s="82"/>
      <c r="C4" s="82"/>
      <c r="D4" s="82"/>
      <c r="E4" s="82"/>
      <c r="F4" s="82"/>
      <c r="G4" s="82"/>
      <c r="H4" s="8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5" t="str">
        <f>C7</f>
        <v>Kent County Water Authority</v>
      </c>
      <c r="B5" s="85"/>
      <c r="C5" s="85"/>
      <c r="D5" s="85"/>
      <c r="E5" s="85"/>
      <c r="F5" s="85"/>
      <c r="G5" s="85"/>
      <c r="H5" s="8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6" t="s">
        <v>39</v>
      </c>
      <c r="B6" s="86"/>
      <c r="C6" s="86"/>
      <c r="D6" s="86"/>
      <c r="E6" s="86"/>
      <c r="F6" s="86"/>
      <c r="G6" s="86"/>
      <c r="H6" s="8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7" t="s">
        <v>36</v>
      </c>
      <c r="D7" s="77"/>
      <c r="E7" s="77"/>
      <c r="F7" s="77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7" t="s">
        <v>33</v>
      </c>
      <c r="D8" s="77"/>
      <c r="E8" s="77"/>
      <c r="F8" s="77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7" t="s">
        <v>32</v>
      </c>
      <c r="D9" s="77"/>
      <c r="E9" s="77"/>
      <c r="F9" s="77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80"/>
      <c r="C11" s="80"/>
      <c r="D11" s="80"/>
      <c r="E11" s="80"/>
      <c r="F11" s="80"/>
      <c r="G11" s="80"/>
      <c r="H11" s="80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3" t="str">
        <f>"Input Customer Demand ("&amp;C8&amp;")"</f>
        <v>Input Customer Demand (Kgal)</v>
      </c>
      <c r="C13" s="83"/>
      <c r="D13" s="83"/>
      <c r="E13" s="83"/>
      <c r="F13" s="83"/>
      <c r="G13" s="83"/>
      <c r="H13" s="8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8" t="s">
        <v>7</v>
      </c>
      <c r="C14" s="78"/>
      <c r="D14" s="78"/>
      <c r="E14" s="78"/>
      <c r="F14" s="78"/>
      <c r="G14" s="78"/>
      <c r="H14" s="7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4" t="s">
        <v>86</v>
      </c>
      <c r="C15" s="84"/>
      <c r="D15" s="84"/>
      <c r="E15" s="32"/>
      <c r="F15" s="84" t="s">
        <v>87</v>
      </c>
      <c r="G15" s="84"/>
      <c r="H15" s="84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 t="s">
        <v>80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 t="s">
        <v>81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 t="s">
        <v>82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 t="s">
        <v>83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 t="s">
        <v>84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 t="s">
        <v>85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 t="s">
        <v>88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 t="s">
        <v>89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 t="s">
        <v>90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 t="s">
        <v>91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 t="s">
        <v>92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 t="s">
        <v>93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 t="s">
        <v>94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 t="s">
        <v>95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 t="s">
        <v>96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97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98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99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100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101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102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103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104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105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106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107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108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45">
      <c r="A44" s="51" t="s">
        <v>109</v>
      </c>
      <c r="B44" s="19">
        <f>(14207475*7.48)/1000</f>
        <v>106271.913</v>
      </c>
      <c r="C44" s="19">
        <f>(4098628*7.48)/1000</f>
        <v>30657.737440000001</v>
      </c>
      <c r="D44" s="19"/>
      <c r="E44" s="20"/>
      <c r="F44" s="19">
        <f>(18659239*7.48)/1000</f>
        <v>139571.10772</v>
      </c>
      <c r="G44" s="19">
        <f>(5831399*7.48)/1000</f>
        <v>43618.864520000003</v>
      </c>
      <c r="H44" s="19">
        <f>(872000*7.48)/1000</f>
        <v>6522.56</v>
      </c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45">
      <c r="A45" s="51" t="s">
        <v>110</v>
      </c>
      <c r="B45" s="19">
        <f>(17988793*7.48)/1000</f>
        <v>134556.17164000002</v>
      </c>
      <c r="C45" s="19">
        <f>(3407120*7.48)/1000</f>
        <v>25485.257600000001</v>
      </c>
      <c r="D45" s="19">
        <f>27993900/1000</f>
        <v>27993.9</v>
      </c>
      <c r="E45" s="20"/>
      <c r="F45" s="19">
        <f>(23395883*7.48)/1000</f>
        <v>175001.20483999999</v>
      </c>
      <c r="G45" s="19">
        <f>(6407115*7.48)/1000</f>
        <v>47925.220200000003</v>
      </c>
      <c r="H45" s="19">
        <f>(1143000*7.48)/1000</f>
        <v>8549.64</v>
      </c>
      <c r="I45" s="26"/>
      <c r="J45" s="2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ht="6.75" customHeight="1" x14ac:dyDescent="0.45">
      <c r="A46" s="30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ht="2.25" customHeight="1" x14ac:dyDescent="0.45">
      <c r="A47" s="32"/>
      <c r="B47" s="79"/>
      <c r="C47" s="79"/>
      <c r="D47" s="79"/>
      <c r="E47" s="79"/>
      <c r="F47" s="79"/>
      <c r="G47" s="79"/>
      <c r="H47" s="79"/>
      <c r="I47" s="26"/>
      <c r="J47" s="2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6.75" customHeight="1" x14ac:dyDescent="0.45">
      <c r="A48" s="30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ht="23.25" x14ac:dyDescent="0.7">
      <c r="A49" s="33"/>
      <c r="B49" s="83" t="str">
        <f>"Input Water Produced ("&amp;C9&amp;")"</f>
        <v>Input Water Produced (MG)</v>
      </c>
      <c r="C49" s="83"/>
      <c r="D49" s="83"/>
      <c r="E49" s="83"/>
      <c r="F49" s="83"/>
      <c r="G49" s="83"/>
      <c r="H49" s="83"/>
      <c r="I49" s="28"/>
      <c r="J49" s="28"/>
      <c r="K49" s="28"/>
      <c r="L49" s="28"/>
      <c r="M49" s="28"/>
      <c r="N49" s="28"/>
      <c r="O49" s="28"/>
      <c r="P49" s="28"/>
      <c r="Q49" s="45"/>
      <c r="R49" s="45"/>
      <c r="S49" s="4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45">
      <c r="A50" s="33"/>
      <c r="B50" s="78" t="s">
        <v>9</v>
      </c>
      <c r="C50" s="78"/>
      <c r="D50" s="78"/>
      <c r="E50" s="78"/>
      <c r="F50" s="78"/>
      <c r="G50" s="78"/>
      <c r="H50" s="7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30.4" x14ac:dyDescent="0.7">
      <c r="A51" s="33"/>
      <c r="B51" s="30"/>
      <c r="C51" s="34" t="s">
        <v>0</v>
      </c>
      <c r="D51" s="62" t="s">
        <v>72</v>
      </c>
      <c r="E51" s="36"/>
      <c r="F51" s="62" t="s">
        <v>73</v>
      </c>
      <c r="G51" s="28"/>
      <c r="H51" s="35" t="s">
        <v>45</v>
      </c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30"/>
      <c r="C52" s="51" t="s">
        <v>80</v>
      </c>
      <c r="D52" s="42">
        <v>173.84700000000001</v>
      </c>
      <c r="E52" s="43"/>
      <c r="F52" s="42">
        <v>167.53200000000001</v>
      </c>
      <c r="G52" s="28"/>
      <c r="H52" s="50">
        <f t="shared" ref="H52:H65" si="0">(F52-D52)/D52</f>
        <v>-3.6325044435624412E-2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 t="s">
        <v>81</v>
      </c>
      <c r="D53" s="42">
        <v>195.333</v>
      </c>
      <c r="E53" s="43"/>
      <c r="F53" s="42">
        <v>190.30600000000001</v>
      </c>
      <c r="G53" s="28"/>
      <c r="H53" s="50">
        <f t="shared" si="0"/>
        <v>-2.573553879784771E-2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 t="s">
        <v>82</v>
      </c>
      <c r="D54" s="42">
        <v>193.55099999999999</v>
      </c>
      <c r="E54" s="43"/>
      <c r="F54" s="42">
        <v>178.22</v>
      </c>
      <c r="G54" s="28"/>
      <c r="H54" s="50">
        <f t="shared" si="0"/>
        <v>-7.9209097343852466E-2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 t="s">
        <v>83</v>
      </c>
      <c r="D55" s="42">
        <v>228.09100000000001</v>
      </c>
      <c r="E55" s="43"/>
      <c r="F55" s="42">
        <v>240.625</v>
      </c>
      <c r="G55" s="28"/>
      <c r="H55" s="50">
        <f t="shared" si="0"/>
        <v>5.4951751713132005E-2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 t="s">
        <v>84</v>
      </c>
      <c r="D56" s="18">
        <v>257.89999999999998</v>
      </c>
      <c r="E56" s="37"/>
      <c r="F56" s="18">
        <v>348.57</v>
      </c>
      <c r="G56" s="28"/>
      <c r="H56" s="50">
        <f t="shared" si="0"/>
        <v>0.35157037611477326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 t="s">
        <v>85</v>
      </c>
      <c r="D57" s="18">
        <v>333.37</v>
      </c>
      <c r="E57" s="37"/>
      <c r="F57" s="18">
        <v>381.34</v>
      </c>
      <c r="G57" s="28"/>
      <c r="H57" s="50">
        <f t="shared" si="0"/>
        <v>0.14389417164111939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 t="s">
        <v>88</v>
      </c>
      <c r="D58" s="42">
        <v>323.49</v>
      </c>
      <c r="E58" s="43"/>
      <c r="F58" s="42">
        <v>370.12</v>
      </c>
      <c r="G58" s="28"/>
      <c r="H58" s="50">
        <f t="shared" si="0"/>
        <v>0.14414665059198117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 t="s">
        <v>89</v>
      </c>
      <c r="D59" s="42">
        <v>282.52999999999997</v>
      </c>
      <c r="E59" s="43"/>
      <c r="F59" s="42">
        <v>320.39</v>
      </c>
      <c r="G59" s="28"/>
      <c r="H59" s="50">
        <f t="shared" si="0"/>
        <v>0.13400346865819565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 t="s">
        <v>90</v>
      </c>
      <c r="D60" s="42">
        <v>208.72</v>
      </c>
      <c r="E60" s="43"/>
      <c r="F60" s="42">
        <v>233.34</v>
      </c>
      <c r="G60" s="28"/>
      <c r="H60" s="50">
        <f t="shared" si="0"/>
        <v>0.11795707167497127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 t="s">
        <v>91</v>
      </c>
      <c r="D61" s="42">
        <v>193.92</v>
      </c>
      <c r="E61" s="43"/>
      <c r="F61" s="42">
        <v>187.14</v>
      </c>
      <c r="G61" s="28"/>
      <c r="H61" s="50">
        <f t="shared" si="0"/>
        <v>-3.4962871287128723E-2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92</v>
      </c>
      <c r="D62" s="42">
        <v>188.86</v>
      </c>
      <c r="E62" s="43"/>
      <c r="F62" s="42">
        <v>182.02</v>
      </c>
      <c r="G62" s="28"/>
      <c r="H62" s="50">
        <f t="shared" si="0"/>
        <v>-3.6217303822937641E-2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93</v>
      </c>
      <c r="D63" s="42">
        <v>189.94</v>
      </c>
      <c r="E63" s="43"/>
      <c r="F63" s="42">
        <v>189.96</v>
      </c>
      <c r="G63" s="28"/>
      <c r="H63" s="50">
        <f t="shared" si="0"/>
        <v>1.0529640939249358E-4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94</v>
      </c>
      <c r="D64" s="42">
        <v>173.75</v>
      </c>
      <c r="E64" s="43"/>
      <c r="F64" s="42">
        <v>178.97</v>
      </c>
      <c r="G64" s="28"/>
      <c r="H64" s="50">
        <f t="shared" si="0"/>
        <v>3.0043165467625893E-2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95</v>
      </c>
      <c r="D65" s="42">
        <v>190.77</v>
      </c>
      <c r="E65" s="43"/>
      <c r="F65" s="42">
        <v>195.96</v>
      </c>
      <c r="G65" s="28"/>
      <c r="H65" s="50">
        <f t="shared" si="0"/>
        <v>2.7205535461550544E-2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96</v>
      </c>
      <c r="D66" s="42">
        <v>184.23</v>
      </c>
      <c r="E66" s="43"/>
      <c r="F66" s="42">
        <v>203.05</v>
      </c>
      <c r="G66" s="28"/>
      <c r="H66" s="50">
        <f t="shared" ref="H66:H70" si="1">(F66-D66)/D66</f>
        <v>0.10215491505183751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97</v>
      </c>
      <c r="D67" s="42">
        <v>240.63</v>
      </c>
      <c r="E67" s="43"/>
      <c r="F67" s="42">
        <v>280.19</v>
      </c>
      <c r="G67" s="28"/>
      <c r="H67" s="50">
        <f>(F67-D67)/D67</f>
        <v>0.16440177866433944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98</v>
      </c>
      <c r="D68" s="42">
        <v>348.57</v>
      </c>
      <c r="E68" s="43"/>
      <c r="F68" s="42">
        <v>329.03800000000001</v>
      </c>
      <c r="G68" s="28"/>
      <c r="H68" s="50">
        <f t="shared" si="1"/>
        <v>-5.6034655879737161E-2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99</v>
      </c>
      <c r="D69" s="18">
        <v>381.33600000000001</v>
      </c>
      <c r="E69" s="37"/>
      <c r="F69" s="18">
        <v>293.58499999999998</v>
      </c>
      <c r="G69" s="28"/>
      <c r="H69" s="50">
        <f t="shared" si="1"/>
        <v>-0.23011464954790534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100</v>
      </c>
      <c r="D70" s="61">
        <v>370.12</v>
      </c>
      <c r="E70" s="43"/>
      <c r="F70" s="61">
        <v>314.51</v>
      </c>
      <c r="G70" s="28"/>
      <c r="H70" s="50">
        <f t="shared" si="1"/>
        <v>-0.15024856803198966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101</v>
      </c>
      <c r="D71" s="61">
        <v>331.274</v>
      </c>
      <c r="E71" s="43"/>
      <c r="F71" s="61">
        <v>279.10500000000002</v>
      </c>
      <c r="G71" s="28"/>
      <c r="H71" s="50">
        <f t="shared" ref="H71:H80" si="2">(F71-D71)/D71</f>
        <v>-0.15747991088947513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102</v>
      </c>
      <c r="D72" s="61">
        <v>242.62</v>
      </c>
      <c r="E72" s="43"/>
      <c r="F72" s="61">
        <v>230.88</v>
      </c>
      <c r="G72" s="28"/>
      <c r="H72" s="50">
        <f t="shared" si="2"/>
        <v>-4.8388426345725863E-2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103</v>
      </c>
      <c r="D73" s="61">
        <v>193.57</v>
      </c>
      <c r="E73" s="43"/>
      <c r="F73" s="61">
        <v>196.185</v>
      </c>
      <c r="G73" s="28"/>
      <c r="H73" s="50">
        <f t="shared" si="2"/>
        <v>1.3509324792064934E-2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104</v>
      </c>
      <c r="D74" s="61">
        <v>188.58445</v>
      </c>
      <c r="E74" s="43"/>
      <c r="F74" s="61">
        <v>182.82619700000001</v>
      </c>
      <c r="G74" s="28"/>
      <c r="H74" s="50">
        <f t="shared" si="2"/>
        <v>-3.0534081680647564E-2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105</v>
      </c>
      <c r="D75" s="61">
        <v>189.96651399999999</v>
      </c>
      <c r="E75" s="43"/>
      <c r="F75" s="61">
        <v>179.42974799999999</v>
      </c>
      <c r="G75" s="28"/>
      <c r="H75" s="64">
        <f t="shared" si="2"/>
        <v>-5.5466438679819124E-2</v>
      </c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106</v>
      </c>
      <c r="D76" s="61">
        <v>178.97</v>
      </c>
      <c r="E76" s="43"/>
      <c r="F76" s="61">
        <v>165.72</v>
      </c>
      <c r="G76" s="28"/>
      <c r="H76" s="64">
        <f t="shared" si="2"/>
        <v>-7.4034754428116439E-2</v>
      </c>
      <c r="I76" s="26"/>
      <c r="J76" s="26"/>
      <c r="K76" s="28"/>
      <c r="L76" s="63"/>
      <c r="M76" s="63"/>
      <c r="N76" s="63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51" t="s">
        <v>107</v>
      </c>
      <c r="D77" s="61">
        <v>195.96299999999999</v>
      </c>
      <c r="E77" s="43"/>
      <c r="F77" s="61">
        <v>178.56899999999999</v>
      </c>
      <c r="G77" s="28"/>
      <c r="H77" s="64">
        <f t="shared" si="2"/>
        <v>-8.8761653985701419E-2</v>
      </c>
      <c r="I77" s="26"/>
      <c r="J77" s="2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3"/>
      <c r="B78" s="30"/>
      <c r="C78" s="51" t="s">
        <v>108</v>
      </c>
      <c r="D78" s="61">
        <v>209.271692</v>
      </c>
      <c r="E78" s="43"/>
      <c r="F78" s="61">
        <v>197.980932</v>
      </c>
      <c r="G78" s="28"/>
      <c r="H78" s="50">
        <f t="shared" si="2"/>
        <v>-5.3952638754409296E-2</v>
      </c>
      <c r="I78" s="26"/>
      <c r="J78" s="2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3"/>
      <c r="B79" s="30"/>
      <c r="C79" s="51" t="s">
        <v>109</v>
      </c>
      <c r="D79" s="61">
        <v>280.19177100000002</v>
      </c>
      <c r="E79" s="43"/>
      <c r="F79" s="61">
        <v>268.98453000000001</v>
      </c>
      <c r="G79" s="28"/>
      <c r="H79" s="65">
        <f t="shared" si="2"/>
        <v>-3.9998465907837136E-2</v>
      </c>
      <c r="I79" s="26"/>
      <c r="J79" s="2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3"/>
      <c r="B80" s="30"/>
      <c r="C80" s="51" t="s">
        <v>110</v>
      </c>
      <c r="D80" s="61">
        <v>329.04</v>
      </c>
      <c r="E80" s="43"/>
      <c r="F80" s="61">
        <v>300.92</v>
      </c>
      <c r="G80" s="28"/>
      <c r="H80" s="65">
        <f t="shared" si="2"/>
        <v>-8.5460734257233176E-2</v>
      </c>
      <c r="I80" s="26"/>
      <c r="J80" s="2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3"/>
      <c r="B81" s="30"/>
      <c r="C81" s="30"/>
      <c r="D81" s="26" t="s">
        <v>40</v>
      </c>
      <c r="E81" s="26"/>
      <c r="F81" s="26"/>
      <c r="G81" s="26"/>
      <c r="H81" s="26"/>
      <c r="I81" s="26"/>
      <c r="J81" s="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0"/>
      <c r="B82" s="30"/>
      <c r="C82" s="30"/>
      <c r="D82" s="26"/>
      <c r="E82" s="26"/>
      <c r="F82" s="26"/>
      <c r="G82" s="26"/>
      <c r="H82" s="26"/>
      <c r="I82" s="26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45">
      <c r="A83" s="30"/>
      <c r="B83" s="30"/>
      <c r="C83" s="30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45">
      <c r="A84" s="30"/>
      <c r="B84" s="30"/>
      <c r="C84" s="30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x14ac:dyDescent="0.45">
      <c r="A85" s="30"/>
      <c r="B85" s="30"/>
      <c r="C85" s="3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x14ac:dyDescent="0.45">
      <c r="A86" s="30"/>
      <c r="B86" s="30"/>
      <c r="C86" s="3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</sheetData>
  <mergeCells count="14">
    <mergeCell ref="C9:F9"/>
    <mergeCell ref="B50:H50"/>
    <mergeCell ref="B47:H47"/>
    <mergeCell ref="B11:H11"/>
    <mergeCell ref="A1:H4"/>
    <mergeCell ref="B49:H49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16" zoomScaleNormal="100" workbookViewId="0">
      <selection activeCell="C36" sqref="C36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9" ht="28.5" customHeight="1" x14ac:dyDescent="0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9" ht="26.25" customHeight="1" x14ac:dyDescent="0.7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44713</v>
      </c>
      <c r="E11" s="24">
        <v>1893158.89</v>
      </c>
      <c r="G11" s="24">
        <v>215854.72</v>
      </c>
      <c r="I11" s="24">
        <v>68450.429999999993</v>
      </c>
      <c r="K11" s="24">
        <f>225960.44+106517.8</f>
        <v>332478.24</v>
      </c>
      <c r="M11" s="24">
        <f>SUM(E11:K11)</f>
        <v>2509942.2800000003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44682</v>
      </c>
      <c r="E15" s="24">
        <v>1928322.05</v>
      </c>
      <c r="G15" s="24">
        <v>-9335.43</v>
      </c>
      <c r="I15" s="24">
        <v>271401.53999999998</v>
      </c>
      <c r="K15" s="24">
        <f>41349.14+117302.83</f>
        <v>158651.97</v>
      </c>
      <c r="M15" s="24">
        <f>SUM(E15:K15)</f>
        <v>2349040.1300000004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44348</v>
      </c>
      <c r="E19" s="24">
        <v>1163410</v>
      </c>
      <c r="G19" s="24">
        <v>424662</v>
      </c>
      <c r="I19" s="24">
        <v>26055</v>
      </c>
      <c r="K19" s="24">
        <v>108271</v>
      </c>
      <c r="M19" s="24">
        <f>SUM(E19:K19)</f>
        <v>1722398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44317</v>
      </c>
      <c r="E23" s="24">
        <v>1755946</v>
      </c>
      <c r="G23" s="24">
        <v>244041</v>
      </c>
      <c r="I23" s="24">
        <v>90049</v>
      </c>
      <c r="K23" s="24">
        <v>398749</v>
      </c>
      <c r="M23" s="24">
        <f>SUM(E23:K23)</f>
        <v>2488785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44713</v>
      </c>
      <c r="D32" s="41"/>
      <c r="E32" s="19">
        <v>3259</v>
      </c>
      <c r="F32" s="41"/>
      <c r="G32" s="24">
        <v>393205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44682</v>
      </c>
      <c r="D36" s="41"/>
      <c r="E36" s="19">
        <v>3297</v>
      </c>
      <c r="F36" s="41"/>
      <c r="G36" s="24">
        <v>413497.46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44348</v>
      </c>
      <c r="D40" s="23"/>
      <c r="E40" s="19">
        <v>2591</v>
      </c>
      <c r="F40" s="41"/>
      <c r="G40" s="24">
        <v>572225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44317</v>
      </c>
      <c r="D44" s="23"/>
      <c r="E44" s="19">
        <v>2056</v>
      </c>
      <c r="F44" s="41"/>
      <c r="G44" s="24">
        <v>615880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44713</v>
      </c>
      <c r="D53" s="23"/>
      <c r="E53" s="24">
        <v>1857542</v>
      </c>
      <c r="F53" s="23"/>
      <c r="G53" s="48">
        <v>44682</v>
      </c>
      <c r="H53" s="23"/>
      <c r="I53" s="24">
        <v>1268858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61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44348</v>
      </c>
      <c r="D58" s="23"/>
      <c r="E58" s="24">
        <v>1814520</v>
      </c>
      <c r="F58" s="23"/>
      <c r="G58" s="48">
        <v>44317</v>
      </c>
      <c r="H58" s="23"/>
      <c r="I58" s="24">
        <v>1843404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Nicole Campagnone</cp:lastModifiedBy>
  <cp:lastPrinted>2022-05-09T16:41:04Z</cp:lastPrinted>
  <dcterms:created xsi:type="dcterms:W3CDTF">2020-04-08T14:34:01Z</dcterms:created>
  <dcterms:modified xsi:type="dcterms:W3CDTF">2022-07-12T19:07:20Z</dcterms:modified>
</cp:coreProperties>
</file>