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ofnewport.priv\DeptsUT\FINANCE\PUC Submissions\FY 2023 - PUC monthly reports\September 2022\"/>
    </mc:Choice>
  </mc:AlternateContent>
  <xr:revisionPtr revIDLastSave="0" documentId="13_ncr:1_{2349F330-7E84-4B25-B92F-EBEC94BC7A2F}" xr6:coauthVersionLast="47" xr6:coauthVersionMax="47" xr10:uidLastSave="{00000000-0000-0000-0000-000000000000}"/>
  <bookViews>
    <workbookView xWindow="1890" yWindow="210" windowWidth="25950" windowHeight="153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3" l="1"/>
  <c r="O26" i="3"/>
  <c r="N26" i="3"/>
  <c r="M20" i="5" l="1"/>
  <c r="P25" i="3"/>
  <c r="O25" i="3"/>
  <c r="N25" i="3"/>
  <c r="M12" i="5"/>
  <c r="N24" i="3"/>
  <c r="P24" i="3"/>
  <c r="O24" i="3"/>
  <c r="P23" i="3" l="1"/>
  <c r="O23" i="3"/>
  <c r="N23" i="3"/>
  <c r="P22" i="3"/>
  <c r="O22" i="3"/>
  <c r="N22" i="3"/>
  <c r="C84" i="4" l="1"/>
  <c r="D33" i="4" s="1"/>
  <c r="C69" i="4"/>
  <c r="D32" i="4" s="1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C86" i="4"/>
  <c r="J33" i="4" s="1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P21" i="3"/>
  <c r="O21" i="3"/>
  <c r="B87" i="4" s="1"/>
  <c r="N33" i="4" s="1"/>
  <c r="N21" i="3"/>
  <c r="N35" i="4" l="1"/>
  <c r="Z35" i="4"/>
  <c r="AL35" i="4"/>
  <c r="W35" i="4"/>
  <c r="AI35" i="4"/>
  <c r="AF35" i="4"/>
  <c r="T35" i="4"/>
  <c r="Q35" i="4"/>
  <c r="AC35" i="4"/>
  <c r="D54" i="4"/>
  <c r="P20" i="3" l="1"/>
  <c r="B101" i="4" s="1"/>
  <c r="K34" i="4" s="1"/>
  <c r="O20" i="3"/>
  <c r="B86" i="4" s="1"/>
  <c r="K33" i="4" s="1"/>
  <c r="N20" i="3"/>
  <c r="B71" i="4" s="1"/>
  <c r="K32" i="4" s="1"/>
  <c r="K35" i="4" s="1"/>
  <c r="P19" i="3" l="1"/>
  <c r="B100" i="4" s="1"/>
  <c r="N19" i="3"/>
  <c r="B70" i="4" s="1"/>
  <c r="D70" i="4" s="1"/>
  <c r="O19" i="3"/>
  <c r="B85" i="4" s="1"/>
  <c r="P18" i="3" l="1"/>
  <c r="B99" i="4" s="1"/>
  <c r="O18" i="3"/>
  <c r="B84" i="4" s="1"/>
  <c r="N18" i="3"/>
  <c r="B69" i="4" s="1"/>
  <c r="E32" i="4" l="1"/>
  <c r="D69" i="4"/>
  <c r="E33" i="4"/>
  <c r="D84" i="4"/>
  <c r="E34" i="4"/>
  <c r="L29" i="3"/>
  <c r="C110" i="4" s="1"/>
  <c r="AK34" i="4" s="1"/>
  <c r="K29" i="3"/>
  <c r="C95" i="4" s="1"/>
  <c r="AK33" i="4" s="1"/>
  <c r="J29" i="3"/>
  <c r="C80" i="4" s="1"/>
  <c r="AK32" i="4" s="1"/>
  <c r="AK35" i="4" l="1"/>
  <c r="AK36" i="4" s="1"/>
  <c r="E35" i="4"/>
  <c r="M16" i="5"/>
  <c r="L28" i="3" l="1"/>
  <c r="C109" i="4" s="1"/>
  <c r="AH34" i="4" s="1"/>
  <c r="K28" i="3" l="1"/>
  <c r="C94" i="4" s="1"/>
  <c r="AH33" i="4" s="1"/>
  <c r="J28" i="3"/>
  <c r="C79" i="4" s="1"/>
  <c r="AH32" i="4" s="1"/>
  <c r="AH35" i="4" l="1"/>
  <c r="AH36" i="4" s="1"/>
  <c r="K27" i="3"/>
  <c r="C93" i="4" s="1"/>
  <c r="AE33" i="4" s="1"/>
  <c r="L27" i="3"/>
  <c r="C108" i="4" s="1"/>
  <c r="AE34" i="4" s="1"/>
  <c r="J27" i="3"/>
  <c r="C78" i="4" s="1"/>
  <c r="AE32" i="4" s="1"/>
  <c r="AE35" i="4" s="1"/>
  <c r="AE36" i="4" s="1"/>
  <c r="J26" i="3" l="1"/>
  <c r="C77" i="4" s="1"/>
  <c r="AB32" i="4" s="1"/>
  <c r="K26" i="3"/>
  <c r="C92" i="4" s="1"/>
  <c r="AB33" i="4" s="1"/>
  <c r="L26" i="3"/>
  <c r="C107" i="4" s="1"/>
  <c r="AB34" i="4" s="1"/>
  <c r="L25" i="3"/>
  <c r="C106" i="4" s="1"/>
  <c r="Y34" i="4" s="1"/>
  <c r="AB35" i="4" l="1"/>
  <c r="AB36" i="4" s="1"/>
  <c r="K25" i="3"/>
  <c r="C91" i="4" s="1"/>
  <c r="Y33" i="4" s="1"/>
  <c r="J25" i="3"/>
  <c r="C76" i="4" s="1"/>
  <c r="Y32" i="4" s="1"/>
  <c r="Y35" i="4" s="1"/>
  <c r="Y36" i="4" s="1"/>
  <c r="L24" i="3" l="1"/>
  <c r="C105" i="4" s="1"/>
  <c r="V34" i="4" s="1"/>
  <c r="K24" i="3"/>
  <c r="C90" i="4" s="1"/>
  <c r="V33" i="4" s="1"/>
  <c r="J24" i="3"/>
  <c r="C75" i="4" s="1"/>
  <c r="V32" i="4" s="1"/>
  <c r="V35" i="4" s="1"/>
  <c r="V36" i="4" s="1"/>
  <c r="L23" i="3" l="1"/>
  <c r="C104" i="4" s="1"/>
  <c r="S34" i="4" s="1"/>
  <c r="K23" i="3"/>
  <c r="C89" i="4" s="1"/>
  <c r="S33" i="4" s="1"/>
  <c r="J23" i="3"/>
  <c r="C74" i="4" s="1"/>
  <c r="S32" i="4" s="1"/>
  <c r="S35" i="4" s="1"/>
  <c r="S36" i="4" s="1"/>
  <c r="L22" i="3" l="1"/>
  <c r="C103" i="4" s="1"/>
  <c r="P34" i="4" s="1"/>
  <c r="K22" i="3"/>
  <c r="C88" i="4" s="1"/>
  <c r="P33" i="4" s="1"/>
  <c r="J22" i="3"/>
  <c r="C73" i="4" s="1"/>
  <c r="P32" i="4" s="1"/>
  <c r="P35" i="4" l="1"/>
  <c r="P36" i="4" s="1"/>
  <c r="J21" i="3"/>
  <c r="C72" i="4" s="1"/>
  <c r="M32" i="4" s="1"/>
  <c r="K21" i="3"/>
  <c r="C87" i="4" s="1"/>
  <c r="M33" i="4" s="1"/>
  <c r="L21" i="3"/>
  <c r="C102" i="4" s="1"/>
  <c r="M34" i="4" s="1"/>
  <c r="M35" i="4" l="1"/>
  <c r="M36" i="4" s="1"/>
  <c r="M8" i="5"/>
  <c r="L20" i="3"/>
  <c r="C101" i="4" s="1"/>
  <c r="J34" i="4" s="1"/>
  <c r="J35" i="4" s="1"/>
  <c r="J36" i="4" s="1"/>
  <c r="L19" i="3"/>
  <c r="C100" i="4" s="1"/>
  <c r="K19" i="3"/>
  <c r="C85" i="4" s="1"/>
  <c r="L18" i="3" l="1"/>
  <c r="C99" i="4" s="1"/>
  <c r="D34" i="4" l="1"/>
  <c r="D35" i="4" s="1"/>
  <c r="D36" i="4" s="1"/>
  <c r="D99" i="4"/>
  <c r="D64" i="4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K21" i="5" s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<sst xmlns="http://schemas.openxmlformats.org/spreadsheetml/2006/main" count="284" uniqueCount="72">
  <si>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</si>
  <si>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</si>
  <si>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</si>
  <si>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</si>
  <si>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</si>
  <si>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</si>
  <si>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</si>
  <si>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</si>
  <si>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</si>
  <si>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</si>
  <si>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</si>
  <si>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</si>
  <si>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</si>
  <si>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</si>
  <si>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</si>
  <si>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</si>
  <si>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</si>
  <si>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</si>
  <si>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</si>
  <si>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</si>
  <si>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</si>
  <si>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</si>
  <si>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</si>
  <si>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</si>
  <si>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</si>
  <si>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</si>
  <si>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</si>
  <si>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</si>
  <si>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</si>
  <si>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</si>
  <si>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</si>
  <si>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</si>
  <si>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</si>
  <si>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If your billing system can provide a delinquent accounts report, please provide:</t>
  </si>
  <si>
    <t># of accounts delinquent</t>
  </si>
  <si>
    <t>Total Dollars delinquent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</si>
  <si>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</si>
  <si>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</si>
  <si>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</si>
  <si>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</si>
  <si>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</si>
  <si>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</si>
  <si>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</si>
  <si>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</si>
  <si>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</si>
  <si>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</si>
  <si>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</si>
  <si>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</si>
  <si>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</si>
  <si>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</si>
  <si>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</si>
  <si>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</si>
  <si>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</si>
  <si>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</si>
  <si>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</si>
  <si>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</si>
  <si>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</si>
  <si>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</si>
  <si>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</si>
  <si>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</si>
  <si>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</si>
  <si>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</si>
  <si>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</si>
  <si>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% of PY</t>
  </si>
  <si>
    <t>`````````````````````````````````````````````````````````````````````````````````````````````````</t>
  </si>
  <si>
    <t>Accounts Receivable - Balances</t>
  </si>
  <si>
    <t>Accounts Receivable - Delinquent Account</t>
  </si>
  <si>
    <t>Accounts Receivable - Collections</t>
  </si>
  <si>
    <t>August 2022</t>
  </si>
  <si>
    <t>August 2021</t>
  </si>
  <si>
    <t>September 2022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</si>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</sst>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4.79</c:v>
                </c:pt>
                <c:pt idx="4">
                  <c:v>5.44</c:v>
                </c:pt>
                <c:pt idx="5">
                  <c:v>6.05</c:v>
                </c:pt>
                <c:pt idx="6">
                  <c:v>7.69</c:v>
                </c:pt>
                <c:pt idx="7">
                  <c:v>7.72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0.95418326693227096</c:v>
                </c:pt>
                <c:pt idx="4">
                  <c:v>0.96283185840707963</c:v>
                </c:pt>
                <c:pt idx="5">
                  <c:v>0.94976452119309263</c:v>
                </c:pt>
                <c:pt idx="6">
                  <c:v>1.1794478527607364</c:v>
                </c:pt>
                <c:pt idx="7">
                  <c:v>1.195046439628483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39237.233</c:v>
                </c:pt>
                <c:pt idx="5">
                  <c:v>48324.105000000003</c:v>
                </c:pt>
                <c:pt idx="6">
                  <c:v>58007.249000000003</c:v>
                </c:pt>
                <c:pt idx="7">
                  <c:v>77500.176999999996</c:v>
                </c:pt>
                <c:pt idx="8">
                  <c:v>71140.599000000002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0.77886267351238103</c:v>
                </c:pt>
                <c:pt idx="5">
                  <c:v>1.0079463309166716</c:v>
                </c:pt>
                <c:pt idx="6">
                  <c:v>1</c:v>
                </c:pt>
                <c:pt idx="7">
                  <c:v>1.1206682007205577</c:v>
                </c:pt>
                <c:pt idx="8">
                  <c:v>1.0582176026039609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26182.77</c:v>
                </c:pt>
                <c:pt idx="5">
                  <c:v>33454.233999999997</c:v>
                </c:pt>
                <c:pt idx="6">
                  <c:v>38220.373</c:v>
                </c:pt>
                <c:pt idx="7">
                  <c:v>54807.464</c:v>
                </c:pt>
                <c:pt idx="8">
                  <c:v>51486.555999999997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0.88532267307512058</c:v>
                </c:pt>
                <c:pt idx="5">
                  <c:v>1.1177069040453629</c:v>
                </c:pt>
                <c:pt idx="6">
                  <c:v>1</c:v>
                </c:pt>
                <c:pt idx="7">
                  <c:v>1.0602900991986846</c:v>
                </c:pt>
                <c:pt idx="8">
                  <c:v>1.0936361518229951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39719.105000000003</c:v>
                </c:pt>
                <c:pt idx="5">
                  <c:v>46763.684999999998</c:v>
                </c:pt>
                <c:pt idx="6">
                  <c:v>55518.584000000003</c:v>
                </c:pt>
                <c:pt idx="7">
                  <c:v>69421.963000000003</c:v>
                </c:pt>
                <c:pt idx="8">
                  <c:v>72151.763999999996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0.91968651875897134</c:v>
                </c:pt>
                <c:pt idx="5">
                  <c:v>0.93282912798719675</c:v>
                </c:pt>
                <c:pt idx="6">
                  <c:v>1</c:v>
                </c:pt>
                <c:pt idx="7">
                  <c:v>1.3200263092704907</c:v>
                </c:pt>
                <c:pt idx="8">
                  <c:v>1.1708195668034569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zoomScale="90" zoomScaleNormal="90" workbookViewId="0">
      <selection activeCell="B78" sqref="B78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4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7" t="str">
        <f>'Demand Input'!C8</f>
        <v>Newport Water Division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6" t="s">
        <v>39</v>
      </c>
      <c r="E31" s="66"/>
      <c r="F31" s="49"/>
      <c r="G31" s="66" t="s">
        <v>7</v>
      </c>
      <c r="H31" s="66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46</v>
      </c>
      <c r="AC31" s="58"/>
      <c r="AD31" s="58"/>
      <c r="AE31" s="58" t="s">
        <v>47</v>
      </c>
      <c r="AF31" s="58"/>
      <c r="AG31" s="58"/>
      <c r="AH31" s="58" t="s">
        <v>50</v>
      </c>
      <c r="AI31" s="58"/>
      <c r="AJ31" s="58"/>
      <c r="AK31" s="58" t="s">
        <v>52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39237.233</v>
      </c>
      <c r="S32" s="15">
        <f>C74</f>
        <v>47943.133000000002</v>
      </c>
      <c r="T32" s="14">
        <f>B74</f>
        <v>48324.105000000003</v>
      </c>
      <c r="V32" s="15">
        <f>C75</f>
        <v>58007.249000000003</v>
      </c>
      <c r="W32" s="14">
        <f>B75</f>
        <v>58007.249000000003</v>
      </c>
      <c r="Y32" s="15">
        <f>C76</f>
        <v>69155.327999999994</v>
      </c>
      <c r="Z32" s="14">
        <f>B76</f>
        <v>77500.176999999996</v>
      </c>
      <c r="AA32" s="14"/>
      <c r="AB32" s="15">
        <f>C77</f>
        <v>67226.815000000002</v>
      </c>
      <c r="AC32" s="14">
        <f>B77</f>
        <v>71140.599000000002</v>
      </c>
      <c r="AD32" s="14"/>
      <c r="AE32" s="15">
        <f>C78</f>
        <v>56697.11</v>
      </c>
      <c r="AF32" s="14">
        <f>B78</f>
        <v>0</v>
      </c>
      <c r="AG32" s="14"/>
      <c r="AH32" s="15">
        <f>C79</f>
        <v>53097.197999999997</v>
      </c>
      <c r="AI32" s="14">
        <f>B79</f>
        <v>0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26182.77</v>
      </c>
      <c r="S33" s="15">
        <f>C89</f>
        <v>29931.133000000002</v>
      </c>
      <c r="T33" s="14">
        <f>B89</f>
        <v>33454.233999999997</v>
      </c>
      <c r="V33" s="15">
        <f>C90</f>
        <v>38220.373</v>
      </c>
      <c r="W33" s="14">
        <f>B90</f>
        <v>38220.373</v>
      </c>
      <c r="Y33" s="15">
        <f>C91</f>
        <v>51691.008000000002</v>
      </c>
      <c r="Z33" s="14">
        <f>B91</f>
        <v>54807.464</v>
      </c>
      <c r="AA33" s="14"/>
      <c r="AB33" s="15">
        <f>C92</f>
        <v>47078.322999999997</v>
      </c>
      <c r="AC33" s="14">
        <f>B92</f>
        <v>51486.555999999997</v>
      </c>
      <c r="AD33" s="14"/>
      <c r="AE33" s="15">
        <f>C93</f>
        <v>42320.849000000002</v>
      </c>
      <c r="AF33" s="14">
        <f>B93</f>
        <v>0</v>
      </c>
      <c r="AG33" s="14"/>
      <c r="AH33" s="15">
        <f>C94</f>
        <v>40123.834999999999</v>
      </c>
      <c r="AI33" s="14">
        <f>B94</f>
        <v>0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39719.105000000003</v>
      </c>
      <c r="S34" s="15">
        <f>C104</f>
        <v>50131.03</v>
      </c>
      <c r="T34" s="14">
        <f>B104</f>
        <v>46763.684999999998</v>
      </c>
      <c r="V34" s="15">
        <f>C105</f>
        <v>55518.584000000003</v>
      </c>
      <c r="W34" s="14">
        <f>B105</f>
        <v>55518.584000000003</v>
      </c>
      <c r="Y34" s="15">
        <f>C106</f>
        <v>52591.347999999998</v>
      </c>
      <c r="Z34" s="14">
        <f>B106</f>
        <v>69421.963000000003</v>
      </c>
      <c r="AA34" s="14"/>
      <c r="AB34" s="15">
        <f>C107</f>
        <v>61625.006999999998</v>
      </c>
      <c r="AC34" s="14">
        <f>B107</f>
        <v>72151.763999999996</v>
      </c>
      <c r="AD34" s="14"/>
      <c r="AE34" s="15">
        <f>C108</f>
        <v>52042.125</v>
      </c>
      <c r="AF34" s="14">
        <f>B108</f>
        <v>0</v>
      </c>
      <c r="AG34" s="14"/>
      <c r="AH34" s="15">
        <f>C109</f>
        <v>53432.968999999997</v>
      </c>
      <c r="AI34" s="14">
        <f>B109</f>
        <v>0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105139.10800000001</v>
      </c>
      <c r="S35" s="15">
        <f>SUM(S32:S34)</f>
        <v>128005.296</v>
      </c>
      <c r="T35" s="14">
        <f>SUM(T32:T34)</f>
        <v>128542.024</v>
      </c>
      <c r="V35" s="15">
        <f>SUM(V32:V34)</f>
        <v>151746.20600000001</v>
      </c>
      <c r="W35" s="14">
        <f>SUM(W32:W34)</f>
        <v>151746.20600000001</v>
      </c>
      <c r="Y35" s="15">
        <f t="shared" ref="Y35:AF35" si="0">SUM(Y32:Y34)</f>
        <v>173437.68400000001</v>
      </c>
      <c r="Z35" s="14">
        <f t="shared" si="0"/>
        <v>201729.60399999999</v>
      </c>
      <c r="AA35" s="14"/>
      <c r="AB35" s="15">
        <f t="shared" si="0"/>
        <v>175930.14500000002</v>
      </c>
      <c r="AC35" s="14">
        <f t="shared" si="0"/>
        <v>194778.91899999999</v>
      </c>
      <c r="AD35" s="14"/>
      <c r="AE35" s="15">
        <f t="shared" si="0"/>
        <v>151060.084</v>
      </c>
      <c r="AF35" s="14">
        <f t="shared" si="0"/>
        <v>0</v>
      </c>
      <c r="AG35" s="14"/>
      <c r="AH35" s="15">
        <f>SUM(AH32:AH34)</f>
        <v>146654.00199999998</v>
      </c>
      <c r="AI35" s="14">
        <f>SUM(AI32:AI34)</f>
        <v>0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62">
        <f>E35/D35-1</f>
        <v>0.18072922139329628</v>
      </c>
      <c r="E36" s="63"/>
      <c r="F36" s="19"/>
      <c r="G36" s="62">
        <f>H35/G35-1</f>
        <v>-0.12895262534544005</v>
      </c>
      <c r="H36" s="63"/>
      <c r="I36" s="19"/>
      <c r="J36" s="62">
        <f>K35/J35-1</f>
        <v>-5.0634016740784826E-3</v>
      </c>
      <c r="K36" s="63"/>
      <c r="L36" s="19"/>
      <c r="M36" s="62">
        <f>N35/M35-1</f>
        <v>9.682934670036869E-2</v>
      </c>
      <c r="N36" s="63"/>
      <c r="O36" s="19"/>
      <c r="P36" s="62">
        <f>Q35/P35-1</f>
        <v>-0.14617903552900657</v>
      </c>
      <c r="Q36" s="63"/>
      <c r="R36" s="19"/>
      <c r="S36" s="62">
        <f>T35/S35-1</f>
        <v>4.1930140140451488E-3</v>
      </c>
      <c r="T36" s="63"/>
      <c r="U36" s="19"/>
      <c r="V36" s="62">
        <f>W35/V35-1</f>
        <v>0</v>
      </c>
      <c r="W36" s="63"/>
      <c r="X36" s="61"/>
      <c r="Y36" s="62">
        <f>Z35/Y35-1</f>
        <v>0.16312441072494943</v>
      </c>
      <c r="Z36" s="63"/>
      <c r="AA36" s="61"/>
      <c r="AB36" s="62">
        <f>AC35/AB35-1</f>
        <v>0.10713783018822598</v>
      </c>
      <c r="AC36" s="63"/>
      <c r="AD36" s="61"/>
      <c r="AE36" s="62">
        <f>AF35/AE35-1</f>
        <v>-1</v>
      </c>
      <c r="AF36" s="63"/>
      <c r="AG36" s="61"/>
      <c r="AH36" s="62">
        <f>AI35/AH35-1</f>
        <v>-1</v>
      </c>
      <c r="AI36" s="63"/>
      <c r="AJ36" s="61"/>
      <c r="AK36" s="62">
        <f>AL35/AK35-1</f>
        <v>-1</v>
      </c>
      <c r="AL36" s="63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8" t="s">
        <v>23</v>
      </c>
      <c r="B50" s="68"/>
      <c r="C50" s="68"/>
      <c r="D50" s="68"/>
      <c r="E50" s="6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63</v>
      </c>
      <c r="E53" s="60"/>
    </row>
    <row r="54" spans="1:21" s="9" customFormat="1" x14ac:dyDescent="0.25">
      <c r="A54" s="1" t="s">
        <v>39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4.79</v>
      </c>
      <c r="C57" s="23">
        <f>'Demand Input'!L39</f>
        <v>5.0199999999999996</v>
      </c>
      <c r="D57" s="5">
        <f t="shared" si="2"/>
        <v>0.95418326693227096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5.44</v>
      </c>
      <c r="C58" s="23">
        <f>'Demand Input'!L40</f>
        <v>5.65</v>
      </c>
      <c r="D58" s="5">
        <f t="shared" si="2"/>
        <v>0.96283185840707963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6.05</v>
      </c>
      <c r="C59" s="23">
        <f>'Demand Input'!L41</f>
        <v>6.37</v>
      </c>
      <c r="D59" s="5">
        <f t="shared" si="2"/>
        <v>0.94976452119309263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7.69</v>
      </c>
      <c r="C60" s="23">
        <f>'Demand Input'!L42</f>
        <v>6.52</v>
      </c>
      <c r="D60" s="5">
        <f t="shared" si="2"/>
        <v>1.1794478527607364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7.72</v>
      </c>
      <c r="C61" s="23">
        <f>'Demand Input'!L43</f>
        <v>6.46</v>
      </c>
      <c r="D61" s="5">
        <f t="shared" si="2"/>
        <v>1.195046439628483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46</v>
      </c>
      <c r="B62" s="23">
        <f>'Demand Input'!P44</f>
        <v>0</v>
      </c>
      <c r="C62" s="23">
        <f>'Demand Input'!L44</f>
        <v>5.86</v>
      </c>
      <c r="D62" s="5">
        <f t="shared" ref="D62" si="3">B62/C62</f>
        <v>0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47</v>
      </c>
      <c r="B63" s="23">
        <f>'Demand Input'!P45</f>
        <v>0</v>
      </c>
      <c r="C63" s="23">
        <f>'Demand Input'!L45</f>
        <v>5.74</v>
      </c>
      <c r="D63" s="5">
        <f t="shared" ref="D63:D65" si="4">B63/C63</f>
        <v>0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50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52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63</v>
      </c>
    </row>
    <row r="69" spans="1:21" s="9" customFormat="1" x14ac:dyDescent="0.25">
      <c r="A69" s="59" t="s">
        <v>39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39237.233</v>
      </c>
      <c r="C73" s="6">
        <f>'Demand Input'!J22</f>
        <v>50377.601000000002</v>
      </c>
      <c r="D73" s="4">
        <f t="shared" si="5"/>
        <v>0.77886267351238103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48324.105000000003</v>
      </c>
      <c r="C74" s="6">
        <f>'Demand Input'!J23</f>
        <v>47943.133000000002</v>
      </c>
      <c r="D74" s="4">
        <f t="shared" si="5"/>
        <v>1.0079463309166716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58007.249000000003</v>
      </c>
      <c r="C75" s="6">
        <f>'Demand Input'!J24</f>
        <v>58007.249000000003</v>
      </c>
      <c r="D75" s="4">
        <f t="shared" si="5"/>
        <v>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77500.176999999996</v>
      </c>
      <c r="C76" s="6">
        <f>'Demand Input'!J25</f>
        <v>69155.327999999994</v>
      </c>
      <c r="D76" s="4">
        <f t="shared" si="5"/>
        <v>1.1206682007205577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46</v>
      </c>
      <c r="B77" s="6">
        <f>'Demand Input'!N26</f>
        <v>71140.599000000002</v>
      </c>
      <c r="C77" s="6">
        <f>'Demand Input'!J26</f>
        <v>67226.815000000002</v>
      </c>
      <c r="D77" s="4">
        <f t="shared" ref="D77" si="6">B77/C77</f>
        <v>1.0582176026039609</v>
      </c>
    </row>
    <row r="78" spans="1:21" s="9" customFormat="1" x14ac:dyDescent="0.25">
      <c r="A78" s="1" t="s">
        <v>47</v>
      </c>
      <c r="B78" s="6">
        <f>'Demand Input'!N27</f>
        <v>0</v>
      </c>
      <c r="C78" s="6">
        <f>'Demand Input'!J27</f>
        <v>56697.11</v>
      </c>
      <c r="D78" s="4">
        <f t="shared" ref="D78:D80" si="7">B78/C78</f>
        <v>0</v>
      </c>
    </row>
    <row r="79" spans="1:21" s="9" customFormat="1" x14ac:dyDescent="0.25">
      <c r="A79" s="1" t="s">
        <v>50</v>
      </c>
      <c r="B79" s="6">
        <f>'Demand Input'!N28</f>
        <v>0</v>
      </c>
      <c r="C79" s="6">
        <f>'Demand Input'!J28</f>
        <v>53097.197999999997</v>
      </c>
      <c r="D79" s="4">
        <f t="shared" si="7"/>
        <v>0</v>
      </c>
    </row>
    <row r="80" spans="1:21" s="9" customFormat="1" x14ac:dyDescent="0.25">
      <c r="A80" s="1" t="s">
        <v>52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63</v>
      </c>
    </row>
    <row r="84" spans="1:21" s="9" customFormat="1" x14ac:dyDescent="0.25">
      <c r="A84" s="59" t="s">
        <v>39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26182.77</v>
      </c>
      <c r="C88" s="6">
        <f>'Demand Input'!K22</f>
        <v>29574.268</v>
      </c>
      <c r="D88" s="4">
        <f t="shared" si="8"/>
        <v>0.88532267307512058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33454.233999999997</v>
      </c>
      <c r="C89" s="6">
        <f>'Demand Input'!K23</f>
        <v>29931.133000000002</v>
      </c>
      <c r="D89" s="4">
        <f t="shared" si="8"/>
        <v>1.1177069040453629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38220.373</v>
      </c>
      <c r="C90" s="6">
        <f>'Demand Input'!K24</f>
        <v>38220.373</v>
      </c>
      <c r="D90" s="4">
        <f t="shared" si="8"/>
        <v>1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54807.464</v>
      </c>
      <c r="C91" s="6">
        <f>'Demand Input'!K25</f>
        <v>51691.008000000002</v>
      </c>
      <c r="D91" s="4">
        <f t="shared" si="8"/>
        <v>1.0602900991986846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46</v>
      </c>
      <c r="B92" s="6">
        <f>'Demand Input'!O26</f>
        <v>51486.555999999997</v>
      </c>
      <c r="C92" s="6">
        <f>'Demand Input'!K26</f>
        <v>47078.322999999997</v>
      </c>
      <c r="D92" s="4">
        <f t="shared" ref="D92" si="9">B92/C92</f>
        <v>1.0936361518229951</v>
      </c>
    </row>
    <row r="93" spans="1:21" s="9" customFormat="1" x14ac:dyDescent="0.25">
      <c r="A93" s="1" t="s">
        <v>47</v>
      </c>
      <c r="B93" s="6">
        <f>'Demand Input'!O27</f>
        <v>0</v>
      </c>
      <c r="C93" s="6">
        <f>'Demand Input'!K27</f>
        <v>42320.849000000002</v>
      </c>
      <c r="D93" s="4">
        <f t="shared" ref="D93:D95" si="10">B93/C93</f>
        <v>0</v>
      </c>
    </row>
    <row r="94" spans="1:21" s="9" customFormat="1" x14ac:dyDescent="0.25">
      <c r="A94" s="1" t="s">
        <v>50</v>
      </c>
      <c r="B94" s="6">
        <f>'Demand Input'!O28</f>
        <v>0</v>
      </c>
      <c r="C94" s="6">
        <f>'Demand Input'!K28</f>
        <v>40123.834999999999</v>
      </c>
      <c r="D94" s="4">
        <f t="shared" si="10"/>
        <v>0</v>
      </c>
    </row>
    <row r="95" spans="1:21" s="9" customFormat="1" x14ac:dyDescent="0.25">
      <c r="A95" s="1" t="s">
        <v>52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63</v>
      </c>
    </row>
    <row r="99" spans="1:21" s="9" customFormat="1" x14ac:dyDescent="0.25">
      <c r="A99" s="59" t="s">
        <v>39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39719.105000000003</v>
      </c>
      <c r="C103" s="6">
        <f>'Demand Input'!L22</f>
        <v>43187.656000000003</v>
      </c>
      <c r="D103" s="4">
        <f t="shared" si="11"/>
        <v>0.91968651875897134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46763.684999999998</v>
      </c>
      <c r="C104" s="6">
        <f>'Demand Input'!L23</f>
        <v>50131.03</v>
      </c>
      <c r="D104" s="4">
        <f t="shared" si="11"/>
        <v>0.93282912798719675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55518.584000000003</v>
      </c>
      <c r="C105" s="6">
        <f>'Demand Input'!L24</f>
        <v>55518.584000000003</v>
      </c>
      <c r="D105" s="4">
        <f t="shared" si="11"/>
        <v>1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69421.963000000003</v>
      </c>
      <c r="C106" s="6">
        <f>'Demand Input'!L25</f>
        <v>52591.347999999998</v>
      </c>
      <c r="D106" s="4">
        <f t="shared" si="11"/>
        <v>1.3200263092704907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46</v>
      </c>
      <c r="B107" s="6">
        <f>'Demand Input'!P26</f>
        <v>72151.763999999996</v>
      </c>
      <c r="C107" s="6">
        <f>'Demand Input'!L26</f>
        <v>61625.006999999998</v>
      </c>
      <c r="D107" s="4">
        <f t="shared" ref="D107" si="12">B107/C107</f>
        <v>1.1708195668034569</v>
      </c>
    </row>
    <row r="108" spans="1:21" x14ac:dyDescent="0.25">
      <c r="A108" s="1" t="s">
        <v>47</v>
      </c>
      <c r="B108" s="6">
        <f>'Demand Input'!P27</f>
        <v>0</v>
      </c>
      <c r="C108" s="6">
        <f>'Demand Input'!L27</f>
        <v>52042.125</v>
      </c>
      <c r="D108" s="4">
        <f t="shared" ref="D108:D110" si="13">B108/C108</f>
        <v>0</v>
      </c>
    </row>
    <row r="109" spans="1:21" x14ac:dyDescent="0.25">
      <c r="A109" s="1" t="s">
        <v>50</v>
      </c>
      <c r="B109" s="6">
        <f>'Demand Input'!P28</f>
        <v>0</v>
      </c>
      <c r="C109" s="6">
        <f>'Demand Input'!L28</f>
        <v>53432.968999999997</v>
      </c>
      <c r="D109" s="4">
        <f t="shared" si="13"/>
        <v>0</v>
      </c>
    </row>
    <row r="110" spans="1:21" x14ac:dyDescent="0.25">
      <c r="A110" s="1" t="s">
        <v>52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A50:E50"/>
    <mergeCell ref="Y36:Z36"/>
    <mergeCell ref="G36:H36"/>
    <mergeCell ref="J36:K36"/>
    <mergeCell ref="M36:N36"/>
    <mergeCell ref="P36:Q36"/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D36:E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A13" zoomScaleNormal="100" workbookViewId="0">
      <selection activeCell="N26" sqref="N26:P26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73" t="s">
        <v>20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4" t="str">
        <f>C8</f>
        <v>Newport Water Division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76" t="s">
        <v>41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76" t="s">
        <v>40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76" t="s">
        <v>21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2"/>
      <c r="C12" s="72"/>
      <c r="D12" s="72"/>
      <c r="E12" s="72"/>
      <c r="F12" s="72"/>
      <c r="G12" s="72"/>
      <c r="H12" s="72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5" t="str">
        <f>"Input Customer Demand ("&amp;C9&amp;")"</f>
        <v>Input Customer Demand (Kgal)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0" t="s">
        <v>15</v>
      </c>
      <c r="C15" s="70"/>
      <c r="D15" s="70"/>
      <c r="E15" s="70"/>
      <c r="F15" s="70"/>
      <c r="G15" s="70"/>
      <c r="H15" s="7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9" t="s">
        <v>16</v>
      </c>
      <c r="C16" s="69"/>
      <c r="D16" s="69"/>
      <c r="E16" s="36"/>
      <c r="F16" s="69" t="s">
        <v>53</v>
      </c>
      <c r="G16" s="69"/>
      <c r="H16" s="69"/>
      <c r="I16" s="36"/>
      <c r="J16" s="69" t="s">
        <v>56</v>
      </c>
      <c r="K16" s="69"/>
      <c r="L16" s="69"/>
      <c r="M16" s="36"/>
      <c r="N16" s="69" t="s">
        <v>57</v>
      </c>
      <c r="O16" s="69"/>
      <c r="P16" s="6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39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>
        <f>(14207933+24108974+920326)/1000</f>
        <v>39237.233</v>
      </c>
      <c r="O22" s="21">
        <f>(9571740+15811831+799199)/1000</f>
        <v>26182.77</v>
      </c>
      <c r="P22" s="21">
        <f>(5761346+8159588+558171+25240000)/1000</f>
        <v>39719.105000000003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>
        <f>+(17583655+29498423+1242027)/1000</f>
        <v>48324.105000000003</v>
      </c>
      <c r="O23" s="21">
        <f>(12297874+19847732+1308628)/1000</f>
        <v>33454.233999999997</v>
      </c>
      <c r="P23" s="21">
        <f>+(7459631+8706952+977102+29620000)/1000</f>
        <v>46763.684999999998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>
        <f>+(20515630+35790645+1700974)/1000</f>
        <v>58007.249000000003</v>
      </c>
      <c r="O24" s="21">
        <f>+(12440244+24337941+1442188)/1000</f>
        <v>38220.373</v>
      </c>
      <c r="P24" s="21">
        <f>+(6488147+6807809+1342628+40880000)/1000</f>
        <v>55518.584000000003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>
        <f>+(26766604+48309244+2424329)/1000</f>
        <v>77500.176999999996</v>
      </c>
      <c r="O25" s="21">
        <f>+(19920848+32690332+2196284)/1000</f>
        <v>54807.464</v>
      </c>
      <c r="P25" s="21">
        <f>+(8216291+8855812+1139860+51210000)/1000</f>
        <v>69421.963000000003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46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>
        <f>(22930717+45962835+2247047)/1000</f>
        <v>71140.599000000002</v>
      </c>
      <c r="O26" s="21">
        <f>(18624600+31094125+1767831)/1000</f>
        <v>51486.555999999997</v>
      </c>
      <c r="P26" s="21">
        <f>+(7518887+9154751+938126+54540000)/1000</f>
        <v>72151.763999999996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47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50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52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1"/>
      <c r="C31" s="71"/>
      <c r="D31" s="71"/>
      <c r="E31" s="71"/>
      <c r="F31" s="71"/>
      <c r="G31" s="71"/>
      <c r="H31" s="7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0" t="s">
        <v>19</v>
      </c>
      <c r="C34" s="70"/>
      <c r="D34" s="70"/>
      <c r="E34" s="70"/>
      <c r="F34" s="70"/>
      <c r="G34" s="70"/>
      <c r="H34" s="7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45</v>
      </c>
      <c r="C35" s="38" t="s">
        <v>44</v>
      </c>
      <c r="D35" s="39" t="s">
        <v>58</v>
      </c>
      <c r="E35" s="40"/>
      <c r="F35" s="37" t="s">
        <v>45</v>
      </c>
      <c r="G35" s="38" t="s">
        <v>44</v>
      </c>
      <c r="H35" s="39" t="s">
        <v>59</v>
      </c>
      <c r="I35" s="28"/>
      <c r="J35" s="37" t="s">
        <v>45</v>
      </c>
      <c r="K35" s="38" t="s">
        <v>44</v>
      </c>
      <c r="L35" s="39" t="s">
        <v>60</v>
      </c>
      <c r="M35" s="31"/>
      <c r="N35" s="37" t="s">
        <v>45</v>
      </c>
      <c r="O35" s="38" t="s">
        <v>44</v>
      </c>
      <c r="P35" s="39" t="s">
        <v>61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39</v>
      </c>
      <c r="C36" s="53" t="s">
        <v>7</v>
      </c>
      <c r="D36" s="20">
        <v>5.0999999999999996</v>
      </c>
      <c r="E36" s="42"/>
      <c r="F36" s="34" t="s">
        <v>39</v>
      </c>
      <c r="G36" s="53" t="s">
        <v>7</v>
      </c>
      <c r="H36" s="20">
        <v>4.62</v>
      </c>
      <c r="I36" s="28"/>
      <c r="J36" s="34" t="s">
        <v>39</v>
      </c>
      <c r="K36" s="53" t="s">
        <v>7</v>
      </c>
      <c r="L36" s="20">
        <v>4.75</v>
      </c>
      <c r="M36" s="31"/>
      <c r="N36" s="34" t="s">
        <v>39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>
        <v>4.79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>
        <v>5.44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>
        <v>6.05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>
        <v>7.69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46</v>
      </c>
      <c r="D43" s="20">
        <v>7.01</v>
      </c>
      <c r="E43" s="42"/>
      <c r="F43" s="34" t="s">
        <v>12</v>
      </c>
      <c r="G43" s="53" t="s">
        <v>46</v>
      </c>
      <c r="H43" s="20">
        <v>7.5</v>
      </c>
      <c r="I43" s="28"/>
      <c r="J43" s="34" t="s">
        <v>12</v>
      </c>
      <c r="K43" s="53" t="s">
        <v>46</v>
      </c>
      <c r="L43" s="20">
        <v>6.46</v>
      </c>
      <c r="M43" s="31"/>
      <c r="N43" s="34" t="s">
        <v>12</v>
      </c>
      <c r="O43" s="53" t="s">
        <v>46</v>
      </c>
      <c r="P43" s="20">
        <v>7.72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46</v>
      </c>
      <c r="C44" s="53" t="s">
        <v>48</v>
      </c>
      <c r="D44" s="20">
        <v>6.18</v>
      </c>
      <c r="E44" s="42"/>
      <c r="F44" s="34" t="s">
        <v>46</v>
      </c>
      <c r="G44" s="53" t="s">
        <v>48</v>
      </c>
      <c r="H44" s="20">
        <v>6.81</v>
      </c>
      <c r="I44" s="28"/>
      <c r="J44" s="34" t="s">
        <v>46</v>
      </c>
      <c r="K44" s="53" t="s">
        <v>48</v>
      </c>
      <c r="L44" s="20">
        <v>5.86</v>
      </c>
      <c r="M44" s="31"/>
      <c r="N44" s="34" t="s">
        <v>46</v>
      </c>
      <c r="O44" s="53" t="s">
        <v>48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47</v>
      </c>
      <c r="C45" s="53" t="s">
        <v>49</v>
      </c>
      <c r="D45" s="20">
        <v>5.91</v>
      </c>
      <c r="E45" s="42"/>
      <c r="F45" s="34" t="s">
        <v>47</v>
      </c>
      <c r="G45" s="53" t="s">
        <v>49</v>
      </c>
      <c r="H45" s="20">
        <v>5.66</v>
      </c>
      <c r="I45" s="28"/>
      <c r="J45" s="34" t="s">
        <v>47</v>
      </c>
      <c r="K45" s="53" t="s">
        <v>49</v>
      </c>
      <c r="L45" s="20">
        <v>5.74</v>
      </c>
      <c r="M45" s="31"/>
      <c r="N45" s="34" t="s">
        <v>47</v>
      </c>
      <c r="O45" s="53" t="s">
        <v>49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50</v>
      </c>
      <c r="C46" s="50" t="s">
        <v>51</v>
      </c>
      <c r="D46" s="20">
        <v>5.0599999999999996</v>
      </c>
      <c r="E46" s="42"/>
      <c r="F46" s="34" t="s">
        <v>50</v>
      </c>
      <c r="G46" s="50" t="s">
        <v>51</v>
      </c>
      <c r="H46" s="20">
        <v>4.9400000000000004</v>
      </c>
      <c r="I46" s="28"/>
      <c r="J46" s="34" t="s">
        <v>50</v>
      </c>
      <c r="K46" s="50" t="s">
        <v>51</v>
      </c>
      <c r="L46" s="20">
        <v>4.9400000000000004</v>
      </c>
      <c r="M46" s="31"/>
      <c r="N46" s="34" t="s">
        <v>50</v>
      </c>
      <c r="O46" s="50" t="s">
        <v>51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52</v>
      </c>
      <c r="C47" s="52" t="s">
        <v>39</v>
      </c>
      <c r="D47" s="51">
        <v>4.7300000000000004</v>
      </c>
      <c r="E47" s="42"/>
      <c r="F47" s="34" t="s">
        <v>52</v>
      </c>
      <c r="G47" s="52" t="s">
        <v>39</v>
      </c>
      <c r="H47" s="51">
        <v>4.63</v>
      </c>
      <c r="I47" s="28"/>
      <c r="J47" s="34" t="s">
        <v>52</v>
      </c>
      <c r="K47" s="52" t="s">
        <v>55</v>
      </c>
      <c r="L47" s="51">
        <v>4.9000000000000004</v>
      </c>
      <c r="M47" s="31"/>
      <c r="N47" s="34" t="s">
        <v>52</v>
      </c>
      <c r="O47" s="52" t="s">
        <v>62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abSelected="1" zoomScaleNormal="100" workbookViewId="0">
      <selection activeCell="I63" sqref="I63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65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70</v>
      </c>
      <c r="E8" s="26">
        <v>3280671</v>
      </c>
      <c r="G8" s="26">
        <v>932119</v>
      </c>
      <c r="I8" s="26">
        <v>178903</v>
      </c>
      <c r="K8" s="26">
        <v>123606</v>
      </c>
      <c r="M8" s="26">
        <f>SUM(E8,G8,I8,K8)</f>
        <v>4515299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26</v>
      </c>
      <c r="D9" s="25"/>
      <c r="E9" s="25" t="s">
        <v>27</v>
      </c>
      <c r="F9" s="25"/>
      <c r="G9" s="25" t="s">
        <v>28</v>
      </c>
      <c r="H9" s="25"/>
      <c r="I9" s="25" t="s">
        <v>42</v>
      </c>
      <c r="J9" s="25"/>
      <c r="K9" s="25" t="s">
        <v>43</v>
      </c>
      <c r="L9" s="25"/>
      <c r="M9" s="25" t="s">
        <v>29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68</v>
      </c>
      <c r="E12" s="26">
        <v>2206232</v>
      </c>
      <c r="G12" s="26">
        <v>146106</v>
      </c>
      <c r="I12" s="26">
        <v>36503</v>
      </c>
      <c r="K12" s="26">
        <v>67108</v>
      </c>
      <c r="M12" s="26">
        <f>SUM(E12,G12,I12,K12)</f>
        <v>2455949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30</v>
      </c>
      <c r="D13" s="25"/>
      <c r="E13" s="25" t="s">
        <v>27</v>
      </c>
      <c r="F13" s="25"/>
      <c r="G13" s="25" t="s">
        <v>28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29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1597870</v>
      </c>
      <c r="G16" s="26">
        <v>303845</v>
      </c>
      <c r="I16" s="26">
        <v>160701</v>
      </c>
      <c r="K16" s="26">
        <v>187009</v>
      </c>
      <c r="M16" s="26">
        <f>SUM(E16,G16,I16,K16)</f>
        <v>2249425</v>
      </c>
      <c r="N16" s="8"/>
      <c r="T16" s="31"/>
      <c r="U16" s="31"/>
      <c r="V16" s="31"/>
      <c r="W16" s="31"/>
      <c r="X16" s="31"/>
    </row>
    <row r="17" spans="1:24" x14ac:dyDescent="0.25">
      <c r="C17" s="25" t="s">
        <v>31</v>
      </c>
      <c r="D17" s="25"/>
      <c r="E17" s="25" t="s">
        <v>27</v>
      </c>
      <c r="F17" s="25"/>
      <c r="G17" s="25" t="s">
        <v>28</v>
      </c>
      <c r="H17" s="25"/>
      <c r="I17" s="25" t="str">
        <f>I13</f>
        <v>60-90 days</v>
      </c>
      <c r="J17" s="25"/>
      <c r="K17" s="25"/>
      <c r="L17" s="25"/>
      <c r="M17" s="25" t="s">
        <v>29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69</v>
      </c>
      <c r="E20" s="26">
        <v>1787321</v>
      </c>
      <c r="G20" s="26">
        <v>257712</v>
      </c>
      <c r="I20" s="26">
        <v>119975</v>
      </c>
      <c r="K20" s="26">
        <v>116980</v>
      </c>
      <c r="M20" s="26">
        <f>SUM(E20,G20,I20,K20)</f>
        <v>2281988</v>
      </c>
      <c r="N20" s="8"/>
      <c r="T20" s="31"/>
      <c r="U20" s="31"/>
      <c r="V20" s="31"/>
      <c r="W20" s="31"/>
      <c r="X20" s="31"/>
    </row>
    <row r="21" spans="1:24" x14ac:dyDescent="0.25">
      <c r="C21" s="25" t="s">
        <v>32</v>
      </c>
      <c r="D21" s="25"/>
      <c r="E21" s="25" t="s">
        <v>27</v>
      </c>
      <c r="F21" s="25"/>
      <c r="G21" s="25" t="s">
        <v>28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29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66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70</v>
      </c>
      <c r="D33" s="46"/>
      <c r="E33" s="47">
        <v>1772</v>
      </c>
      <c r="F33" s="46">
        <v>0</v>
      </c>
      <c r="G33" s="26">
        <v>1234628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26</v>
      </c>
      <c r="D34" s="25"/>
      <c r="E34" s="27" t="s">
        <v>34</v>
      </c>
      <c r="F34" s="25"/>
      <c r="G34" s="27" t="s">
        <v>35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68</v>
      </c>
      <c r="D37" s="46"/>
      <c r="E37" s="47">
        <v>601</v>
      </c>
      <c r="F37" s="46">
        <v>0</v>
      </c>
      <c r="G37" s="26">
        <v>249717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30</v>
      </c>
      <c r="D38" s="25"/>
      <c r="E38" s="27" t="s">
        <v>34</v>
      </c>
      <c r="F38" s="25"/>
      <c r="G38" s="27" t="s">
        <v>35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71</v>
      </c>
      <c r="D41" s="25"/>
      <c r="E41" s="47">
        <v>1641</v>
      </c>
      <c r="F41" s="25"/>
      <c r="G41" s="26">
        <v>651555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31</v>
      </c>
      <c r="D42" s="25"/>
      <c r="E42" s="27" t="s">
        <v>34</v>
      </c>
      <c r="F42" s="25"/>
      <c r="G42" s="27" t="s">
        <v>35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69</v>
      </c>
      <c r="D45" s="25"/>
      <c r="E45" s="47">
        <v>1406</v>
      </c>
      <c r="F45" s="25"/>
      <c r="G45" s="26">
        <v>494666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32</v>
      </c>
      <c r="D46" s="25"/>
      <c r="E46" s="27" t="s">
        <v>34</v>
      </c>
      <c r="F46" s="25"/>
      <c r="G46" s="27" t="s">
        <v>35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67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36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44816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70</v>
      </c>
      <c r="D54" s="25"/>
      <c r="E54" s="26">
        <v>375010</v>
      </c>
      <c r="F54" s="25"/>
      <c r="G54" s="56" t="s">
        <v>68</v>
      </c>
      <c r="H54" s="25"/>
      <c r="I54" s="26">
        <v>2993875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26</v>
      </c>
      <c r="D55" s="25"/>
      <c r="E55" s="27" t="s">
        <v>37</v>
      </c>
      <c r="F55" s="25"/>
      <c r="G55" s="25" t="s">
        <v>30</v>
      </c>
      <c r="H55" s="25"/>
      <c r="I55" s="27" t="s">
        <v>37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71</v>
      </c>
      <c r="D59" s="25"/>
      <c r="E59" s="26">
        <v>212780</v>
      </c>
      <c r="F59" s="25"/>
      <c r="G59" s="56" t="s">
        <v>69</v>
      </c>
      <c r="H59" s="25"/>
      <c r="I59" s="26">
        <v>2184594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38</v>
      </c>
      <c r="D60" s="25"/>
      <c r="E60" s="27" t="s">
        <v>37</v>
      </c>
      <c r="F60" s="25"/>
      <c r="G60" s="27" t="s">
        <v>54</v>
      </c>
      <c r="H60" s="25"/>
      <c r="I60" s="27" t="s">
        <v>37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A61" s="8" t="s">
        <v>64</v>
      </c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2022-09-14T19:41:43Z</dcterms:modified>
</cp:coreProperties>
</file>